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참좋은무일복지센터 결산 및 1차추경\2023년 1차 추경\"/>
    </mc:Choice>
  </mc:AlternateContent>
  <xr:revisionPtr revIDLastSave="0" documentId="13_ncr:1_{BB16D953-9BB7-43FA-8E32-81C1FA570050}" xr6:coauthVersionLast="47" xr6:coauthVersionMax="47" xr10:uidLastSave="{00000000-0000-0000-0000-000000000000}"/>
  <bookViews>
    <workbookView xWindow="2745" yWindow="1575" windowWidth="19095" windowHeight="11715" tabRatio="858" xr2:uid="{00000000-000D-0000-FFFF-FFFF00000000}"/>
  </bookViews>
  <sheets>
    <sheet name="표지" sheetId="1" r:id="rId1"/>
    <sheet name="예산총칙" sheetId="2" r:id="rId2"/>
    <sheet name="총괄내역서" sheetId="3" r:id="rId3"/>
    <sheet name="세입예산" sheetId="4" r:id="rId4"/>
    <sheet name="세출예산" sheetId="5" r:id="rId5"/>
    <sheet name="예산증감내용" sheetId="6" r:id="rId6"/>
  </sheets>
  <definedNames>
    <definedName name="_xlnm.Consolidate_Area" localSheetId="3">세입예산!$A$1:$P$43</definedName>
    <definedName name="_xlnm.Consolidate_Area" localSheetId="4">세출예산!$A$1:$S$111</definedName>
    <definedName name="_xlnm.Consolidate_Area" localSheetId="5">예산증감내용!$B$1:$E$8</definedName>
    <definedName name="_xlnm.Consolidate_Area">#REF!</definedName>
    <definedName name="_xlnm.Print_Area" localSheetId="3">세입예산!$A$1:$Q$44</definedName>
    <definedName name="_xlnm.Print_Area" localSheetId="4">세출예산!$A$1:$T$114</definedName>
    <definedName name="_xlnm.Print_Area" localSheetId="5">예산증감내용!$A$1:$E$39</definedName>
    <definedName name="_xlnm.Print_Area" localSheetId="2">총괄내역서!$A$1:$E$26</definedName>
    <definedName name="_xlnm.Print_Area" localSheetId="0">표지!$A$1:$A$12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2" i="5" l="1"/>
  <c r="U19" i="5" s="1"/>
  <c r="T12" i="5"/>
  <c r="T8" i="5"/>
  <c r="T96" i="5"/>
  <c r="E5" i="4"/>
  <c r="D5" i="4"/>
  <c r="E89" i="5"/>
  <c r="E85" i="5"/>
  <c r="D38" i="6"/>
  <c r="C38" i="6"/>
  <c r="D36" i="6"/>
  <c r="C36" i="6"/>
  <c r="D28" i="6"/>
  <c r="C28" i="6"/>
  <c r="I110" i="5"/>
  <c r="I38" i="4"/>
  <c r="V44" i="5"/>
  <c r="C13" i="6"/>
  <c r="Q35" i="4"/>
  <c r="E35" i="4" s="1"/>
  <c r="D13" i="6" s="1"/>
  <c r="Q19" i="4"/>
  <c r="Q20" i="4"/>
  <c r="S10" i="4"/>
  <c r="Q10" i="4"/>
  <c r="Q11" i="4"/>
  <c r="I20" i="5"/>
  <c r="T40" i="5"/>
  <c r="T41" i="5"/>
  <c r="I35" i="5"/>
  <c r="I33" i="5"/>
  <c r="I32" i="5"/>
  <c r="I31" i="5"/>
  <c r="I29" i="5"/>
  <c r="I28" i="5"/>
  <c r="T25" i="5"/>
  <c r="T10" i="5"/>
  <c r="T9" i="5"/>
  <c r="U8" i="5" l="1"/>
  <c r="E38" i="6"/>
  <c r="E36" i="6"/>
  <c r="E28" i="6"/>
  <c r="F35" i="4"/>
  <c r="E13" i="6"/>
  <c r="D24" i="4"/>
  <c r="D102" i="5" l="1"/>
  <c r="D7" i="5"/>
  <c r="D55" i="5"/>
  <c r="D59" i="5"/>
  <c r="D85" i="5"/>
  <c r="C17" i="6"/>
  <c r="C34" i="6"/>
  <c r="C32" i="6"/>
  <c r="C30" i="6"/>
  <c r="C26" i="6"/>
  <c r="C24" i="6"/>
  <c r="C15" i="6"/>
  <c r="C11" i="6"/>
  <c r="C9" i="6"/>
  <c r="C7" i="6"/>
  <c r="D112" i="5"/>
  <c r="T67" i="5" l="1"/>
  <c r="R21" i="4" l="1"/>
  <c r="S21" i="4" s="1"/>
  <c r="V46" i="5" l="1"/>
  <c r="V47" i="5" s="1"/>
  <c r="T31" i="5"/>
  <c r="V21" i="5"/>
  <c r="V22" i="5" s="1"/>
  <c r="V20" i="5"/>
  <c r="V19" i="5" s="1"/>
  <c r="V35" i="5"/>
  <c r="V29" i="5"/>
  <c r="T32" i="5"/>
  <c r="T29" i="5"/>
  <c r="T33" i="5"/>
  <c r="V33" i="5"/>
  <c r="V28" i="5"/>
  <c r="R20" i="4"/>
  <c r="R19" i="4"/>
  <c r="R18" i="4"/>
  <c r="R13" i="4"/>
  <c r="R12" i="4"/>
  <c r="R9" i="4"/>
  <c r="R11" i="4"/>
  <c r="R10" i="4"/>
  <c r="T30" i="5" l="1"/>
  <c r="T114" i="5"/>
  <c r="E114" i="5" s="1"/>
  <c r="T113" i="5"/>
  <c r="E113" i="5" s="1"/>
  <c r="E112" i="5" l="1"/>
  <c r="D26" i="3" s="1"/>
  <c r="F114" i="5"/>
  <c r="D111" i="5"/>
  <c r="C26" i="3"/>
  <c r="F113" i="5"/>
  <c r="E26" i="3" l="1"/>
  <c r="F112" i="5"/>
  <c r="E111" i="5"/>
  <c r="D105" i="5"/>
  <c r="F111" i="5" l="1"/>
  <c r="T80" i="5"/>
  <c r="T100" i="5"/>
  <c r="T46" i="5" l="1"/>
  <c r="E46" i="5" s="1"/>
  <c r="F46" i="5" l="1"/>
  <c r="T28" i="5"/>
  <c r="T27" i="5" s="1"/>
  <c r="Q44" i="4"/>
  <c r="T58" i="5"/>
  <c r="T35" i="5" l="1"/>
  <c r="T20" i="5"/>
  <c r="T11" i="5"/>
  <c r="C23" i="3" l="1"/>
  <c r="T103" i="5" l="1"/>
  <c r="E103" i="5" s="1"/>
  <c r="D101" i="5"/>
  <c r="T107" i="5"/>
  <c r="Q42" i="4"/>
  <c r="D23" i="3" l="1"/>
  <c r="E23" i="3" l="1"/>
  <c r="T110" i="5"/>
  <c r="E110" i="5" s="1"/>
  <c r="D34" i="6" s="1"/>
  <c r="E34" i="6" s="1"/>
  <c r="D109" i="5"/>
  <c r="D108" i="5" s="1"/>
  <c r="T106" i="5"/>
  <c r="T99" i="5"/>
  <c r="T98" i="5"/>
  <c r="V99" i="5" s="1"/>
  <c r="V100" i="5" s="1"/>
  <c r="T97" i="5"/>
  <c r="D95" i="5"/>
  <c r="C22" i="3" s="1"/>
  <c r="T94" i="5"/>
  <c r="E94" i="5"/>
  <c r="T93" i="5"/>
  <c r="E93" i="5"/>
  <c r="T92" i="5"/>
  <c r="E92" i="5"/>
  <c r="T91" i="5"/>
  <c r="E91" i="5" s="1"/>
  <c r="D90" i="5"/>
  <c r="T88" i="5"/>
  <c r="E88" i="5" s="1"/>
  <c r="T87" i="5"/>
  <c r="E87" i="5" s="1"/>
  <c r="T86" i="5"/>
  <c r="E86" i="5" s="1"/>
  <c r="D84" i="5"/>
  <c r="T83" i="5"/>
  <c r="T82" i="5"/>
  <c r="T81" i="5"/>
  <c r="T78" i="5"/>
  <c r="T77" i="5"/>
  <c r="T75" i="5"/>
  <c r="T74" i="5"/>
  <c r="T73" i="5"/>
  <c r="T72" i="5"/>
  <c r="T71" i="5"/>
  <c r="T70" i="5"/>
  <c r="T69" i="5"/>
  <c r="T66" i="5"/>
  <c r="T65" i="5"/>
  <c r="T64" i="5"/>
  <c r="T63" i="5"/>
  <c r="T62" i="5"/>
  <c r="T60" i="5"/>
  <c r="E60" i="5" s="1"/>
  <c r="T57" i="5"/>
  <c r="E57" i="5" s="1"/>
  <c r="T56" i="5"/>
  <c r="E56" i="5" s="1"/>
  <c r="C18" i="3"/>
  <c r="T45" i="5"/>
  <c r="T44" i="5"/>
  <c r="T43" i="5"/>
  <c r="T39" i="5"/>
  <c r="T38" i="5" s="1"/>
  <c r="T37" i="5"/>
  <c r="T36" i="5" s="1"/>
  <c r="T34" i="5"/>
  <c r="T26" i="5"/>
  <c r="T24" i="5"/>
  <c r="T23" i="5"/>
  <c r="T22" i="5"/>
  <c r="T19" i="5"/>
  <c r="T18" i="5" s="1"/>
  <c r="T16" i="5"/>
  <c r="T15" i="5"/>
  <c r="T14" i="5"/>
  <c r="T13" i="5"/>
  <c r="Q43" i="4"/>
  <c r="E43" i="4" s="1"/>
  <c r="Q41" i="4"/>
  <c r="Q39" i="4"/>
  <c r="Q38" i="4"/>
  <c r="D37" i="4"/>
  <c r="D36" i="4" s="1"/>
  <c r="C11" i="3" s="1"/>
  <c r="Q34" i="4"/>
  <c r="D11" i="6" s="1"/>
  <c r="E11" i="6" s="1"/>
  <c r="Q33" i="4"/>
  <c r="D32" i="4"/>
  <c r="D31" i="4" s="1"/>
  <c r="C10" i="3" s="1"/>
  <c r="Q30" i="4"/>
  <c r="E30" i="4" s="1"/>
  <c r="D29" i="4"/>
  <c r="Q27" i="4"/>
  <c r="Q26" i="4"/>
  <c r="C8" i="3"/>
  <c r="Q22" i="4"/>
  <c r="E22" i="4" s="1"/>
  <c r="Q21" i="4"/>
  <c r="Q18" i="4"/>
  <c r="D16" i="4"/>
  <c r="D15" i="4" s="1"/>
  <c r="C7" i="3" s="1"/>
  <c r="Q14" i="4"/>
  <c r="Q13" i="4"/>
  <c r="Q12" i="4"/>
  <c r="Q9" i="4"/>
  <c r="Q8" i="4" s="1"/>
  <c r="D7" i="4"/>
  <c r="D6" i="4" s="1"/>
  <c r="C25" i="3"/>
  <c r="E33" i="4" l="1"/>
  <c r="E32" i="4" s="1"/>
  <c r="F32" i="4" s="1"/>
  <c r="Q17" i="4"/>
  <c r="E17" i="4" s="1"/>
  <c r="D7" i="6" s="1"/>
  <c r="E7" i="6" s="1"/>
  <c r="T21" i="5"/>
  <c r="F94" i="5"/>
  <c r="F86" i="5"/>
  <c r="E12" i="4"/>
  <c r="F87" i="5"/>
  <c r="C21" i="3"/>
  <c r="D89" i="5"/>
  <c r="C20" i="3"/>
  <c r="E17" i="5"/>
  <c r="D26" i="6" s="1"/>
  <c r="E26" i="6" s="1"/>
  <c r="Q40" i="4"/>
  <c r="G43" i="4"/>
  <c r="F93" i="5"/>
  <c r="E96" i="5"/>
  <c r="E8" i="4"/>
  <c r="C17" i="3"/>
  <c r="D6" i="5"/>
  <c r="E40" i="4"/>
  <c r="D17" i="6" s="1"/>
  <c r="E17" i="6" s="1"/>
  <c r="G33" i="4"/>
  <c r="E55" i="5"/>
  <c r="F91" i="5"/>
  <c r="D104" i="5"/>
  <c r="C24" i="3" s="1"/>
  <c r="F92" i="5"/>
  <c r="D28" i="4"/>
  <c r="C9" i="3" s="1"/>
  <c r="E106" i="5"/>
  <c r="E76" i="5"/>
  <c r="D23" i="4"/>
  <c r="E38" i="4"/>
  <c r="D15" i="6" s="1"/>
  <c r="E15" i="6" s="1"/>
  <c r="G94" i="5"/>
  <c r="G91" i="5"/>
  <c r="G92" i="5"/>
  <c r="F88" i="5"/>
  <c r="G88" i="5"/>
  <c r="G87" i="5"/>
  <c r="G93" i="5"/>
  <c r="E25" i="4"/>
  <c r="F34" i="4"/>
  <c r="E61" i="5"/>
  <c r="G86" i="5"/>
  <c r="C6" i="3"/>
  <c r="G60" i="5"/>
  <c r="F60" i="5"/>
  <c r="F33" i="4"/>
  <c r="G34" i="4"/>
  <c r="F43" i="4"/>
  <c r="G57" i="5"/>
  <c r="F57" i="5"/>
  <c r="F30" i="4"/>
  <c r="E68" i="5"/>
  <c r="E29" i="4"/>
  <c r="G56" i="5"/>
  <c r="F56" i="5"/>
  <c r="C19" i="3"/>
  <c r="E79" i="5"/>
  <c r="E109" i="5"/>
  <c r="F110" i="5"/>
  <c r="G110" i="5"/>
  <c r="E90" i="5"/>
  <c r="D9" i="6" l="1"/>
  <c r="E9" i="6" s="1"/>
  <c r="G7" i="6" s="1"/>
  <c r="E28" i="4"/>
  <c r="D5" i="5"/>
  <c r="C16" i="3"/>
  <c r="G61" i="5"/>
  <c r="G8" i="4"/>
  <c r="G17" i="4"/>
  <c r="F38" i="4"/>
  <c r="E8" i="5"/>
  <c r="G106" i="5"/>
  <c r="F22" i="4"/>
  <c r="E7" i="4"/>
  <c r="E6" i="4" s="1"/>
  <c r="G22" i="4"/>
  <c r="F40" i="4"/>
  <c r="G40" i="4"/>
  <c r="F17" i="4"/>
  <c r="F96" i="5"/>
  <c r="E95" i="5"/>
  <c r="G95" i="5" s="1"/>
  <c r="G96" i="5"/>
  <c r="F25" i="4"/>
  <c r="G38" i="4"/>
  <c r="G12" i="4"/>
  <c r="G76" i="5"/>
  <c r="E59" i="5"/>
  <c r="F59" i="5" s="1"/>
  <c r="C5" i="3"/>
  <c r="F106" i="5"/>
  <c r="E105" i="5"/>
  <c r="E16" i="4"/>
  <c r="G16" i="4" s="1"/>
  <c r="F12" i="4"/>
  <c r="F103" i="5"/>
  <c r="E102" i="5"/>
  <c r="F76" i="5"/>
  <c r="F8" i="4"/>
  <c r="E37" i="4"/>
  <c r="G32" i="4"/>
  <c r="G25" i="4"/>
  <c r="E31" i="4"/>
  <c r="F31" i="4" s="1"/>
  <c r="E24" i="4"/>
  <c r="E23" i="4" s="1"/>
  <c r="F61" i="5"/>
  <c r="G90" i="5"/>
  <c r="F90" i="5"/>
  <c r="D21" i="3"/>
  <c r="E21" i="3" s="1"/>
  <c r="G109" i="5"/>
  <c r="F109" i="5"/>
  <c r="E108" i="5"/>
  <c r="G79" i="5"/>
  <c r="F79" i="5"/>
  <c r="F55" i="5"/>
  <c r="D18" i="3"/>
  <c r="E18" i="3" s="1"/>
  <c r="G55" i="5"/>
  <c r="E84" i="5"/>
  <c r="G85" i="5"/>
  <c r="F85" i="5"/>
  <c r="F29" i="4"/>
  <c r="G68" i="5"/>
  <c r="F68" i="5"/>
  <c r="I48" i="5" l="1"/>
  <c r="T48" i="5" s="1"/>
  <c r="D24" i="6"/>
  <c r="E24" i="6" s="1"/>
  <c r="G7" i="4"/>
  <c r="F8" i="5"/>
  <c r="D22" i="3"/>
  <c r="E22" i="3" s="1"/>
  <c r="G8" i="5"/>
  <c r="F6" i="4"/>
  <c r="F7" i="4"/>
  <c r="G24" i="4"/>
  <c r="F24" i="4"/>
  <c r="F16" i="4"/>
  <c r="G89" i="5"/>
  <c r="F95" i="5"/>
  <c r="E104" i="5"/>
  <c r="D24" i="3" s="1"/>
  <c r="E24" i="3" s="1"/>
  <c r="F105" i="5"/>
  <c r="G105" i="5"/>
  <c r="E15" i="4"/>
  <c r="F102" i="5"/>
  <c r="E101" i="5"/>
  <c r="D10" i="3"/>
  <c r="E10" i="3" s="1"/>
  <c r="E36" i="4"/>
  <c r="F37" i="4"/>
  <c r="G37" i="4"/>
  <c r="G31" i="4"/>
  <c r="G59" i="5"/>
  <c r="D19" i="3"/>
  <c r="D9" i="3"/>
  <c r="E9" i="3" s="1"/>
  <c r="F28" i="4"/>
  <c r="F17" i="5"/>
  <c r="G17" i="5"/>
  <c r="G108" i="5"/>
  <c r="F108" i="5"/>
  <c r="D25" i="3"/>
  <c r="E25" i="3" s="1"/>
  <c r="D8" i="3"/>
  <c r="E8" i="3" s="1"/>
  <c r="G23" i="4"/>
  <c r="F23" i="4"/>
  <c r="G84" i="5"/>
  <c r="D20" i="3"/>
  <c r="E20" i="3" s="1"/>
  <c r="F84" i="5"/>
  <c r="G6" i="4"/>
  <c r="D6" i="3"/>
  <c r="I50" i="5" l="1"/>
  <c r="I53" i="5" s="1"/>
  <c r="T53" i="5" s="1"/>
  <c r="E19" i="3"/>
  <c r="U48" i="5"/>
  <c r="F15" i="4"/>
  <c r="F89" i="5"/>
  <c r="F104" i="5"/>
  <c r="G104" i="5"/>
  <c r="E47" i="5"/>
  <c r="G15" i="4"/>
  <c r="D7" i="3"/>
  <c r="E7" i="3" s="1"/>
  <c r="F101" i="5"/>
  <c r="D11" i="3"/>
  <c r="E11" i="3" s="1"/>
  <c r="G36" i="4"/>
  <c r="F36" i="4"/>
  <c r="I51" i="5"/>
  <c r="T51" i="5" s="1"/>
  <c r="I52" i="5" s="1"/>
  <c r="T52" i="5" s="1"/>
  <c r="E6" i="3"/>
  <c r="I54" i="5" l="1"/>
  <c r="T54" i="5" s="1"/>
  <c r="T50" i="5"/>
  <c r="E49" i="5" s="1"/>
  <c r="D32" i="6" s="1"/>
  <c r="E32" i="6" s="1"/>
  <c r="F5" i="4"/>
  <c r="D30" i="6"/>
  <c r="E30" i="6" s="1"/>
  <c r="F47" i="5"/>
  <c r="G47" i="5"/>
  <c r="D5" i="3"/>
  <c r="E5" i="3" s="1"/>
  <c r="G5" i="4"/>
  <c r="G23" i="6" l="1"/>
  <c r="E7" i="5"/>
  <c r="G49" i="5"/>
  <c r="F49" i="5"/>
  <c r="E6" i="5" l="1"/>
  <c r="E5" i="5" s="1"/>
  <c r="T5" i="4" s="1"/>
  <c r="F7" i="5"/>
  <c r="G7" i="5"/>
  <c r="D17" i="3"/>
  <c r="D16" i="3" s="1"/>
  <c r="E17" i="3" l="1"/>
  <c r="E16" i="3" s="1"/>
  <c r="F6" i="5"/>
  <c r="G6" i="5"/>
  <c r="F5" i="5" l="1"/>
  <c r="G5" i="5"/>
</calcChain>
</file>

<file path=xl/sharedStrings.xml><?xml version="1.0" encoding="utf-8"?>
<sst xmlns="http://schemas.openxmlformats.org/spreadsheetml/2006/main" count="703" uniqueCount="243">
  <si>
    <t>3. 본 예산은 장기요양기관 재무회계규칙 제 4조 예산과결산에 의거 편성하며 집행한다.</t>
  </si>
  <si>
    <t xml:space="preserve">5. 장기요양사업수입,국시비보조금, 후원금등의 세입이 증가 할 경우 세입·세출예산을 </t>
  </si>
  <si>
    <t xml:space="preserve">6. 보편적으로 발생하는 지출에 있어서는 세출예산에도 불구하고 초과 집행하고 차기  </t>
  </si>
  <si>
    <t xml:space="preserve">4. 장기요양사업수입, 보조금, 후원금등의 세입이 감소할 경우 기존사업을 축소할 수 </t>
  </si>
  <si>
    <t xml:space="preserve">7. 세출예산에서 초과지출이 발생할 경우에 동일관 내의 목간전용으로 부족한 예산을  </t>
  </si>
  <si>
    <t>(이용자 4등급 24일 기준)</t>
  </si>
  <si>
    <t>기타예금이자수입</t>
  </si>
  <si>
    <t>◎어르신생신잔치</t>
  </si>
  <si>
    <t>증 감(B-A)</t>
  </si>
  <si>
    <t>총       계</t>
  </si>
  <si>
    <t>○ 세입의 주요내용</t>
  </si>
  <si>
    <t>퇴직금 및 퇴직적립금</t>
  </si>
  <si>
    <t>예   비   비</t>
  </si>
  <si>
    <t>장기요양급여수입</t>
  </si>
  <si>
    <t>(단위 : 원)</t>
  </si>
  <si>
    <t xml:space="preserve"> 예  산  총  칙</t>
  </si>
  <si>
    <t>총        계</t>
  </si>
  <si>
    <t>입소자물품구입비</t>
  </si>
  <si>
    <t>인   건   비</t>
  </si>
  <si>
    <t>◎외부프로그램 강사료</t>
  </si>
  <si>
    <t>시   설   비</t>
  </si>
  <si>
    <t>사회보험부담비용</t>
  </si>
  <si>
    <t>◎일반대상자(15%)</t>
  </si>
  <si>
    <t>◎한국재가노인협회비</t>
  </si>
  <si>
    <t>◎남구사회복지협의회비</t>
  </si>
  <si>
    <t>직원식재료비수입</t>
  </si>
  <si>
    <t>잡   지   출</t>
  </si>
  <si>
    <t>예금이자수입(후원금)</t>
  </si>
  <si>
    <t>예비비 및 기타</t>
  </si>
  <si>
    <t>◎대구재가노인협회비</t>
  </si>
  <si>
    <t>◎감경대상자(9%)</t>
  </si>
  <si>
    <t>퇴직금및퇴직적립금</t>
  </si>
  <si>
    <t>운   영   비</t>
  </si>
  <si>
    <t>◎감경대상자(91%)</t>
  </si>
  <si>
    <t>수용비 및 수수료</t>
  </si>
  <si>
    <t xml:space="preserve">   이사회에서 추가경정예산을 승인 받을 수 있다.</t>
  </si>
  <si>
    <t>◎감경대상자(6%)</t>
  </si>
  <si>
    <t>%</t>
  </si>
  <si>
    <t xml:space="preserve">원 </t>
  </si>
  <si>
    <t>잡수입</t>
  </si>
  <si>
    <t>사무비</t>
  </si>
  <si>
    <t>원</t>
  </si>
  <si>
    <t>회</t>
  </si>
  <si>
    <t>이월금</t>
  </si>
  <si>
    <t>차량비</t>
  </si>
  <si>
    <t>×</t>
  </si>
  <si>
    <t>목</t>
  </si>
  <si>
    <t xml:space="preserve">관 </t>
  </si>
  <si>
    <t>액수</t>
  </si>
  <si>
    <t>시설비</t>
  </si>
  <si>
    <t>전입금</t>
  </si>
  <si>
    <t>x</t>
  </si>
  <si>
    <t>예비비</t>
  </si>
  <si>
    <t>사업비</t>
  </si>
  <si>
    <t>운영비</t>
  </si>
  <si>
    <t>관</t>
  </si>
  <si>
    <t>총계</t>
  </si>
  <si>
    <t>인건비</t>
  </si>
  <si>
    <t>급여</t>
  </si>
  <si>
    <t>생계비</t>
  </si>
  <si>
    <t>여비</t>
  </si>
  <si>
    <t>과목</t>
  </si>
  <si>
    <t>/</t>
  </si>
  <si>
    <t>항</t>
  </si>
  <si>
    <t>명</t>
  </si>
  <si>
    <t xml:space="preserve">항 </t>
  </si>
  <si>
    <t>잡지출</t>
  </si>
  <si>
    <t>월</t>
  </si>
  <si>
    <t>의료비</t>
  </si>
  <si>
    <t>회의비</t>
  </si>
  <si>
    <t>사회보험부담금</t>
  </si>
  <si>
    <t>기타잡수입</t>
  </si>
  <si>
    <t>재산조성비</t>
  </si>
  <si>
    <t>◎장기요양보험</t>
  </si>
  <si>
    <t>◎기타공공요금</t>
  </si>
  <si>
    <t>○요양보호사</t>
  </si>
  <si>
    <t>본인부담금수입</t>
  </si>
  <si>
    <t>기관운영비</t>
  </si>
  <si>
    <t>자산취득비</t>
  </si>
  <si>
    <t>◎차량유류대</t>
  </si>
  <si>
    <t>이용자비용수입</t>
  </si>
  <si>
    <t>의료물품구입비</t>
  </si>
  <si>
    <t>주부식비</t>
  </si>
  <si>
    <t>일반사업비</t>
  </si>
  <si>
    <t>◎건강보험</t>
  </si>
  <si>
    <t>법인전입금</t>
  </si>
  <si>
    <t>식대(직원)</t>
  </si>
  <si>
    <t>◎사무용품구입</t>
  </si>
  <si>
    <t>◎고용보험</t>
  </si>
  <si>
    <t>◎비지정후원금</t>
  </si>
  <si>
    <t>◎건물관리비</t>
  </si>
  <si>
    <t>업무추진비</t>
  </si>
  <si>
    <t>◎지정후원금</t>
  </si>
  <si>
    <t xml:space="preserve">   있다.</t>
  </si>
  <si>
    <t>식재료비수입</t>
  </si>
  <si>
    <t>가산금수입</t>
  </si>
  <si>
    <t>시설장비유지비</t>
  </si>
  <si>
    <t>후원금수입</t>
  </si>
  <si>
    <t>수용기관경비</t>
  </si>
  <si>
    <t>◎복사기임차료</t>
  </si>
  <si>
    <t>기타운영비</t>
  </si>
  <si>
    <t>예금이자수입</t>
  </si>
  <si>
    <t>○사회복지사2</t>
  </si>
  <si>
    <t>공공요금</t>
  </si>
  <si>
    <t>◎국민연금</t>
  </si>
  <si>
    <t>◎각종보험료</t>
  </si>
  <si>
    <t>○사회복지사</t>
  </si>
  <si>
    <t>요양급여수입</t>
  </si>
  <si>
    <t>◎기관운영비</t>
  </si>
  <si>
    <t>○사회복지사1</t>
  </si>
  <si>
    <t>산출근거</t>
  </si>
  <si>
    <t>◎산재보험</t>
  </si>
  <si>
    <t>○소  장</t>
  </si>
  <si>
    <t>◎직원식대</t>
  </si>
  <si>
    <t>각종수당</t>
  </si>
  <si>
    <t>◎차량유지비</t>
  </si>
  <si>
    <t>○운전원</t>
  </si>
  <si>
    <t>○간호조무사</t>
  </si>
  <si>
    <t>◎직원피복비</t>
  </si>
  <si>
    <t>프로그램사업비</t>
  </si>
  <si>
    <t>특별급식비</t>
  </si>
  <si>
    <t>◎기타잡수입</t>
  </si>
  <si>
    <t>◎공공요금</t>
  </si>
  <si>
    <t>잡      수      입</t>
  </si>
  <si>
    <t>이      월      금</t>
  </si>
  <si>
    <t>◎소식지 및 급여명세서 발송</t>
  </si>
  <si>
    <t>공공요금 및 제세공과금</t>
  </si>
  <si>
    <t xml:space="preserve">   초과할 수 있다.</t>
  </si>
  <si>
    <t xml:space="preserve">   집행 할 수가 있다.</t>
  </si>
  <si>
    <t xml:space="preserve"> 예산 증감사항 및 주요내용</t>
  </si>
  <si>
    <t>전년도 이월금(후원금)</t>
  </si>
  <si>
    <t>◎기타수용비 및 수수료</t>
  </si>
  <si>
    <t>◎전년도 이월금(후원금)</t>
  </si>
  <si>
    <t>입소자(이용자)부담금수입</t>
  </si>
  <si>
    <t>사회복지법인 무일복지재단</t>
  </si>
  <si>
    <t>전      입      금</t>
  </si>
  <si>
    <t>법인전입금(후원금)</t>
  </si>
  <si>
    <t>◎공기청정기 렌탈료</t>
  </si>
  <si>
    <t>◎정수기 렌탈료</t>
  </si>
  <si>
    <t>요양급여   수입</t>
  </si>
  <si>
    <t>후원금      수입</t>
  </si>
  <si>
    <t>세                  입</t>
  </si>
  <si>
    <t>세                    출</t>
  </si>
  <si>
    <t xml:space="preserve">                (단위: 원)</t>
  </si>
  <si>
    <t>전년도 이월금(수익사업)</t>
    <phoneticPr fontId="19" type="noConversion"/>
  </si>
  <si>
    <t>◎전년도 이월금(수익사업)</t>
    <phoneticPr fontId="19" type="noConversion"/>
  </si>
  <si>
    <t>◎코로나19 한시적 방역지원금(종사자 PCR검사 지원금)</t>
    <phoneticPr fontId="19" type="noConversion"/>
  </si>
  <si>
    <t>원</t>
    <phoneticPr fontId="19" type="noConversion"/>
  </si>
  <si>
    <t>회</t>
    <phoneticPr fontId="19" type="noConversion"/>
  </si>
  <si>
    <t>◎코로나19 한시적 방역지원금(종사자 PCR검사 지원금)</t>
    <phoneticPr fontId="19" type="noConversion"/>
  </si>
  <si>
    <t>◎잡지출</t>
    <phoneticPr fontId="19" type="noConversion"/>
  </si>
  <si>
    <t>전출금</t>
    <phoneticPr fontId="19" type="noConversion"/>
  </si>
  <si>
    <t>◎ 무일복지재단 법인 전출금</t>
    <phoneticPr fontId="19" type="noConversion"/>
  </si>
  <si>
    <t>법인회계전출금</t>
    <phoneticPr fontId="19" type="noConversion"/>
  </si>
  <si>
    <t>법인회계전출금</t>
    <phoneticPr fontId="19" type="noConversion"/>
  </si>
  <si>
    <t>기본급(간접비)</t>
    <phoneticPr fontId="19" type="noConversion"/>
  </si>
  <si>
    <t>기본급(직접비)</t>
    <phoneticPr fontId="19" type="noConversion"/>
  </si>
  <si>
    <t>◎연장근로수당(간접비)</t>
    <phoneticPr fontId="19" type="noConversion"/>
  </si>
  <si>
    <t>◎연장근로수당(직접비)</t>
    <phoneticPr fontId="19" type="noConversion"/>
  </si>
  <si>
    <t>◎공휴일수당(간접비)</t>
    <phoneticPr fontId="19" type="noConversion"/>
  </si>
  <si>
    <t>◎초과근로수당(직접비)</t>
    <phoneticPr fontId="19" type="noConversion"/>
  </si>
  <si>
    <t>◎직책수당(간접비)</t>
    <phoneticPr fontId="19" type="noConversion"/>
  </si>
  <si>
    <t>◎명절상여금(간접비)</t>
    <phoneticPr fontId="19" type="noConversion"/>
  </si>
  <si>
    <t>◎명절상여금(직접비)</t>
    <phoneticPr fontId="19" type="noConversion"/>
  </si>
  <si>
    <t>◎직원회의비</t>
    <phoneticPr fontId="19" type="noConversion"/>
  </si>
  <si>
    <t>◎운영위원회의</t>
    <phoneticPr fontId="19" type="noConversion"/>
  </si>
  <si>
    <t>○요양보호사</t>
    <phoneticPr fontId="19" type="noConversion"/>
  </si>
  <si>
    <t>◎감경대상자(94%)</t>
    <phoneticPr fontId="19" type="noConversion"/>
  </si>
  <si>
    <t>◎가산금수입</t>
    <phoneticPr fontId="19" type="noConversion"/>
  </si>
  <si>
    <t>홍보계몽사업비</t>
    <phoneticPr fontId="19" type="noConversion"/>
  </si>
  <si>
    <t>원</t>
    <phoneticPr fontId="19" type="noConversion"/>
  </si>
  <si>
    <t>◎의료급여대상자(100%)</t>
    <phoneticPr fontId="19" type="noConversion"/>
  </si>
  <si>
    <t>참좋은무일복지센터</t>
    <phoneticPr fontId="19" type="noConversion"/>
  </si>
  <si>
    <t>사     무     비</t>
    <phoneticPr fontId="19" type="noConversion"/>
  </si>
  <si>
    <t>재 산 조 성 비</t>
    <phoneticPr fontId="19" type="noConversion"/>
  </si>
  <si>
    <t>사      업     비</t>
    <phoneticPr fontId="19" type="noConversion"/>
  </si>
  <si>
    <t>전      출     금</t>
    <phoneticPr fontId="19" type="noConversion"/>
  </si>
  <si>
    <t>잡      지     출</t>
    <phoneticPr fontId="19" type="noConversion"/>
  </si>
  <si>
    <t>적립금 및 준비금 지출</t>
    <phoneticPr fontId="19" type="noConversion"/>
  </si>
  <si>
    <t>운영충당 적립금</t>
    <phoneticPr fontId="19" type="noConversion"/>
  </si>
  <si>
    <t>운영충당 적립금 및 환경개선준비금</t>
    <phoneticPr fontId="19" type="noConversion"/>
  </si>
  <si>
    <t>◎운영충당 적립금</t>
    <phoneticPr fontId="19" type="noConversion"/>
  </si>
  <si>
    <t>◎환경개선준비금</t>
    <phoneticPr fontId="19" type="noConversion"/>
  </si>
  <si>
    <t>◎프로그램사업비(설명절, 어버이날, 추석명절, 송년회)</t>
    <phoneticPr fontId="19" type="noConversion"/>
  </si>
  <si>
    <t xml:space="preserve">2023년 참좋은무일복지센터(주간보호) </t>
    <phoneticPr fontId="19" type="noConversion"/>
  </si>
  <si>
    <t>후원금      수입</t>
    <phoneticPr fontId="19" type="noConversion"/>
  </si>
  <si>
    <t>요양급여   수입</t>
    <phoneticPr fontId="19" type="noConversion"/>
  </si>
  <si>
    <t>1) 2023년 참좋은무일복지센터(주간보호) 세입 예산 내역</t>
    <phoneticPr fontId="19" type="noConversion"/>
  </si>
  <si>
    <t>1) 2023년 참좋은무일복지센터(주간보호)  세출 예산 내역</t>
    <phoneticPr fontId="19" type="noConversion"/>
  </si>
  <si>
    <t>◎초과근로수당(간접비)</t>
    <phoneticPr fontId="19" type="noConversion"/>
  </si>
  <si>
    <t>○소   장</t>
    <phoneticPr fontId="19" type="noConversion"/>
  </si>
  <si>
    <t>○운전원</t>
    <phoneticPr fontId="19" type="noConversion"/>
  </si>
  <si>
    <t>○사회복지사</t>
    <phoneticPr fontId="19" type="noConversion"/>
  </si>
  <si>
    <t>○간호조무사</t>
    <phoneticPr fontId="19" type="noConversion"/>
  </si>
  <si>
    <t>원</t>
    <phoneticPr fontId="19" type="noConversion"/>
  </si>
  <si>
    <t>◎기타운영비(직원교육비 등)</t>
    <phoneticPr fontId="19" type="noConversion"/>
  </si>
  <si>
    <t>전년도 이월금</t>
  </si>
  <si>
    <t>전년도 이월금
(후원금)</t>
    <phoneticPr fontId="19" type="noConversion"/>
  </si>
  <si>
    <t>○ 세출의 주요내용</t>
    <phoneticPr fontId="19" type="noConversion"/>
  </si>
  <si>
    <t>급  여</t>
  </si>
  <si>
    <t>■ 사업장명 : 참좋은무일복지센터(주간보호)</t>
    <phoneticPr fontId="19" type="noConversion"/>
  </si>
  <si>
    <t>2023년</t>
    <phoneticPr fontId="19" type="noConversion"/>
  </si>
  <si>
    <t>적립금 및 준비금</t>
    <phoneticPr fontId="19" type="noConversion"/>
  </si>
  <si>
    <t>운영충당적림금 및 환경개선준비금</t>
    <phoneticPr fontId="19" type="noConversion"/>
  </si>
  <si>
    <t>코로나19 방역지원금 일부 종료로 인해 세입이 감소하여 감액 편성</t>
    <phoneticPr fontId="19" type="noConversion"/>
  </si>
  <si>
    <t>◎일반대상자(85%)</t>
    <phoneticPr fontId="19" type="noConversion"/>
  </si>
  <si>
    <t>◎식재료비수입</t>
    <phoneticPr fontId="19" type="noConversion"/>
  </si>
  <si>
    <t>◎특별간식비수입</t>
    <phoneticPr fontId="19" type="noConversion"/>
  </si>
  <si>
    <t>◎퇴직적립금</t>
    <phoneticPr fontId="19" type="noConversion"/>
  </si>
  <si>
    <t>◎일용직(조리원)</t>
    <phoneticPr fontId="19" type="noConversion"/>
  </si>
  <si>
    <t>시설환경개선준비금</t>
    <phoneticPr fontId="19" type="noConversion"/>
  </si>
  <si>
    <t>2023년 참좋은무일복지센터(주간보호) 1차 추경(안) 총괄내역서</t>
    <phoneticPr fontId="19" type="noConversion"/>
  </si>
  <si>
    <t>○요양보호사(주임)</t>
    <phoneticPr fontId="19" type="noConversion"/>
  </si>
  <si>
    <t>일</t>
    <phoneticPr fontId="19" type="noConversion"/>
  </si>
  <si>
    <t>실 이월금으로 조정</t>
    <phoneticPr fontId="19" type="noConversion"/>
  </si>
  <si>
    <t>실 이월금(후원금)으로 조정</t>
    <phoneticPr fontId="19" type="noConversion"/>
  </si>
  <si>
    <t>전년도 이월금(자부담)</t>
    <phoneticPr fontId="19" type="noConversion"/>
  </si>
  <si>
    <t>전년도 이월금
(자부담)</t>
    <phoneticPr fontId="19" type="noConversion"/>
  </si>
  <si>
    <t>실 이월금(자부담)으로 조정</t>
    <phoneticPr fontId="19" type="noConversion"/>
  </si>
  <si>
    <t>◎직원복지(복지지원, 연말 성과 포상)</t>
    <phoneticPr fontId="19" type="noConversion"/>
  </si>
  <si>
    <t>일용잡급</t>
    <phoneticPr fontId="19" type="noConversion"/>
  </si>
  <si>
    <t>운영충당적립금 및 환경개선준비금</t>
    <phoneticPr fontId="19" type="noConversion"/>
  </si>
  <si>
    <t>운영충당적립금</t>
    <phoneticPr fontId="19" type="noConversion"/>
  </si>
  <si>
    <t>2023년 실 급여로 조정하여 증액 편성</t>
    <phoneticPr fontId="19" type="noConversion"/>
  </si>
  <si>
    <t>2023년 실 각종수당으로 조정하여 증액 편성</t>
    <phoneticPr fontId="19" type="noConversion"/>
  </si>
  <si>
    <t>일용잡급 지출이 줄어 감액 편성</t>
    <phoneticPr fontId="19" type="noConversion"/>
  </si>
  <si>
    <t>운영충당적립금 지출이 증가하여 증액 조정</t>
    <phoneticPr fontId="19" type="noConversion"/>
  </si>
  <si>
    <t>환경개선준비금 지출이 증가하여 증액 조정</t>
    <phoneticPr fontId="19" type="noConversion"/>
  </si>
  <si>
    <t>환경개선준비금</t>
    <phoneticPr fontId="19" type="noConversion"/>
  </si>
  <si>
    <t>예비비 지출의 감소로 인한 감액 조정</t>
    <phoneticPr fontId="19" type="noConversion"/>
  </si>
  <si>
    <t>2023년 
1차추경(B)</t>
    <phoneticPr fontId="19" type="noConversion"/>
  </si>
  <si>
    <t>최초예산
(A)</t>
    <phoneticPr fontId="19" type="noConversion"/>
  </si>
  <si>
    <t xml:space="preserve"> 1차추경
(B)</t>
    <phoneticPr fontId="19" type="noConversion"/>
  </si>
  <si>
    <t>최초예산 (A)</t>
    <phoneticPr fontId="19" type="noConversion"/>
  </si>
  <si>
    <t>1차추경 (B)</t>
    <phoneticPr fontId="19" type="noConversion"/>
  </si>
  <si>
    <t>2023년 
최초예산(A)</t>
    <phoneticPr fontId="19" type="noConversion"/>
  </si>
  <si>
    <r>
      <t>2. 세입.세출 예산 총액은</t>
    </r>
    <r>
      <rPr>
        <b/>
        <u/>
        <sz val="12"/>
        <color theme="1"/>
        <rFont val="굴림"/>
        <family val="3"/>
        <charset val="129"/>
      </rPr>
      <t xml:space="preserve"> 440,223,000원</t>
    </r>
    <r>
      <rPr>
        <sz val="12"/>
        <color rgb="FF000000"/>
        <rFont val="굴림"/>
        <family val="3"/>
        <charset val="129"/>
      </rPr>
      <t>으로한다.</t>
    </r>
    <phoneticPr fontId="19" type="noConversion"/>
  </si>
  <si>
    <t>예금이자수입 감소로 증액 편성</t>
    <phoneticPr fontId="19" type="noConversion"/>
  </si>
  <si>
    <t>2023년 급여 및 수당의 증가로 인한 퇴직금 및 퇴직적립금 증액 편성</t>
    <phoneticPr fontId="19" type="noConversion"/>
  </si>
  <si>
    <t>2023년 급여 및 수당의 증가로 인한 사회보험부담금 증액 편성</t>
    <phoneticPr fontId="19" type="noConversion"/>
  </si>
  <si>
    <t>1차 추가경정 세입.세출 예산(안)</t>
    <phoneticPr fontId="19" type="noConversion"/>
  </si>
  <si>
    <t>1. 참좋은무일복지센터 주간보호사업의 2023년 1차 추가경정 세입.세출 예산(안)은 다음과 같다.</t>
    <phoneticPr fontId="19" type="noConversion"/>
  </si>
  <si>
    <t xml:space="preserve"> 의료급여대상자(100%)의 급여변경으로 출석 일 수 감소로 인한 세입 감액 조정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</si>
</sst>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43" formatCode="_-* #,##0.00_-;\-* #,##0.00_-;_-* &quot;-&quot;??_-;_-@_-"/>
    <numFmt numFmtId="176" formatCode="#,##0.00_ "/>
    <numFmt numFmtId="177" formatCode="#,##0.000_ "/>
    <numFmt numFmtId="178" formatCode="#,##0_);[Red]\(#,##0\)"/>
    <numFmt numFmtId="179" formatCode="0.00_);[Red]\(0.00\)"/>
    <numFmt numFmtId="180" formatCode="0.000_);[Red]\(0.000\)"/>
  </numFmts>
  <fonts count="23" x14ac:knownFonts="1">
    <font>
      <sz val="11"/>
      <color rgb="FF000000"/>
      <name val="돋움"/>
    </font>
    <font>
      <sz val="11"/>
      <color rgb="FF000000"/>
      <name val="굴림"/>
      <family val="3"/>
      <charset val="129"/>
    </font>
    <font>
      <b/>
      <sz val="20"/>
      <color rgb="FF000000"/>
      <name val="굴림"/>
      <family val="3"/>
      <charset val="129"/>
    </font>
    <font>
      <sz val="11"/>
      <color rgb="FF000000"/>
      <name val="바탕"/>
      <family val="1"/>
      <charset val="129"/>
    </font>
    <font>
      <b/>
      <sz val="8"/>
      <color rgb="FF000000"/>
      <name val="굴림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"/>
      <family val="3"/>
      <charset val="129"/>
    </font>
    <font>
      <sz val="8"/>
      <color rgb="FF000000"/>
      <name val="돋움"/>
      <family val="3"/>
      <charset val="129"/>
    </font>
    <font>
      <sz val="20"/>
      <color rgb="FF000000"/>
      <name val="굴림"/>
      <family val="3"/>
      <charset val="129"/>
    </font>
    <font>
      <b/>
      <sz val="9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9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바탕"/>
      <family val="1"/>
      <charset val="129"/>
    </font>
    <font>
      <b/>
      <sz val="16"/>
      <color rgb="FF000000"/>
      <name val="바탕"/>
      <family val="1"/>
      <charset val="129"/>
    </font>
    <font>
      <sz val="12"/>
      <color rgb="FF000000"/>
      <name val="굴림"/>
      <family val="3"/>
      <charset val="129"/>
    </font>
    <font>
      <b/>
      <sz val="25"/>
      <color rgb="FF000000"/>
      <name val="굴림"/>
      <family val="3"/>
      <charset val="129"/>
    </font>
    <font>
      <b/>
      <sz val="16"/>
      <color rgb="FF000000"/>
      <name val="굴림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sz val="9"/>
      <color rgb="FFFF0000"/>
      <name val="굴림"/>
      <family val="3"/>
      <charset val="129"/>
    </font>
    <font>
      <sz val="9"/>
      <color theme="1"/>
      <name val="굴림"/>
      <family val="3"/>
      <charset val="129"/>
    </font>
    <font>
      <b/>
      <u/>
      <sz val="12"/>
      <color theme="1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9" fontId="18" fillId="0" borderId="0">
      <alignment vertical="center"/>
    </xf>
    <xf numFmtId="41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41" fontId="18" fillId="0" borderId="0">
      <alignment vertical="center"/>
    </xf>
    <xf numFmtId="9" fontId="18" fillId="0" borderId="0">
      <alignment vertical="center"/>
    </xf>
    <xf numFmtId="0" fontId="18" fillId="0" borderId="0">
      <alignment vertical="center"/>
    </xf>
  </cellStyleXfs>
  <cellXfs count="391">
    <xf numFmtId="0" fontId="0" fillId="0" borderId="0" xfId="0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5" fillId="0" borderId="0" xfId="0" applyNumberFormat="1" applyFont="1" applyAlignment="1">
      <alignment horizontal="right" vertical="center"/>
    </xf>
    <xf numFmtId="41" fontId="5" fillId="0" borderId="0" xfId="0" applyNumberFormat="1" applyFont="1">
      <alignment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3" applyFont="1">
      <alignment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9" fillId="0" borderId="4" xfId="0" applyNumberFormat="1" applyFont="1" applyBorder="1">
      <alignment vertical="center"/>
    </xf>
    <xf numFmtId="3" fontId="9" fillId="0" borderId="5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3" fontId="10" fillId="0" borderId="7" xfId="0" applyNumberFormat="1" applyFont="1" applyBorder="1">
      <alignment vertical="center"/>
    </xf>
    <xf numFmtId="3" fontId="10" fillId="0" borderId="8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3" fontId="10" fillId="0" borderId="12" xfId="0" applyNumberFormat="1" applyFont="1" applyBorder="1">
      <alignment vertical="center"/>
    </xf>
    <xf numFmtId="3" fontId="10" fillId="0" borderId="13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3" fontId="10" fillId="0" borderId="16" xfId="0" applyNumberFormat="1" applyFont="1" applyBorder="1">
      <alignment vertical="center"/>
    </xf>
    <xf numFmtId="3" fontId="10" fillId="0" borderId="17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3" fontId="10" fillId="0" borderId="21" xfId="0" applyNumberFormat="1" applyFont="1" applyBorder="1">
      <alignment vertical="center"/>
    </xf>
    <xf numFmtId="3" fontId="9" fillId="0" borderId="22" xfId="0" applyNumberFormat="1" applyFont="1" applyBorder="1">
      <alignment vertical="center"/>
    </xf>
    <xf numFmtId="3" fontId="10" fillId="0" borderId="11" xfId="0" applyNumberFormat="1" applyFont="1" applyBorder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/>
    </xf>
    <xf numFmtId="0" fontId="10" fillId="0" borderId="23" xfId="0" applyFont="1" applyBorder="1" applyAlignment="1">
      <alignment horizontal="center" vertical="center"/>
    </xf>
    <xf numFmtId="0" fontId="18" fillId="0" borderId="0" xfId="4">
      <alignment vertical="center"/>
    </xf>
    <xf numFmtId="0" fontId="18" fillId="2" borderId="0" xfId="4" applyFill="1">
      <alignment vertical="center"/>
    </xf>
    <xf numFmtId="3" fontId="11" fillId="0" borderId="7" xfId="5" applyNumberFormat="1" applyFont="1" applyBorder="1">
      <alignment vertical="center"/>
    </xf>
    <xf numFmtId="3" fontId="11" fillId="0" borderId="24" xfId="5" applyNumberFormat="1" applyFont="1" applyBorder="1">
      <alignment vertical="center"/>
    </xf>
    <xf numFmtId="3" fontId="11" fillId="0" borderId="25" xfId="5" applyNumberFormat="1" applyFont="1" applyBorder="1">
      <alignment vertical="center"/>
    </xf>
    <xf numFmtId="3" fontId="11" fillId="0" borderId="26" xfId="5" applyNumberFormat="1" applyFont="1" applyBorder="1">
      <alignment vertical="center"/>
    </xf>
    <xf numFmtId="3" fontId="11" fillId="0" borderId="27" xfId="5" applyNumberFormat="1" applyFont="1" applyBorder="1">
      <alignment vertical="center"/>
    </xf>
    <xf numFmtId="3" fontId="18" fillId="0" borderId="0" xfId="4" applyNumberFormat="1">
      <alignment vertical="center"/>
    </xf>
    <xf numFmtId="3" fontId="10" fillId="0" borderId="11" xfId="4" applyNumberFormat="1" applyFont="1" applyBorder="1">
      <alignment vertical="center"/>
    </xf>
    <xf numFmtId="0" fontId="7" fillId="0" borderId="0" xfId="7" applyFont="1">
      <alignment vertical="center"/>
    </xf>
    <xf numFmtId="0" fontId="9" fillId="0" borderId="1" xfId="4" applyFont="1" applyBorder="1" applyAlignment="1">
      <alignment horizontal="center" vertical="center"/>
    </xf>
    <xf numFmtId="0" fontId="9" fillId="0" borderId="28" xfId="4" applyFont="1" applyBorder="1" applyAlignment="1">
      <alignment horizontal="center" vertical="center"/>
    </xf>
    <xf numFmtId="0" fontId="9" fillId="0" borderId="29" xfId="4" applyFont="1" applyBorder="1" applyAlignment="1">
      <alignment horizontal="center" vertical="center"/>
    </xf>
    <xf numFmtId="3" fontId="9" fillId="2" borderId="21" xfId="5" applyNumberFormat="1" applyFont="1" applyFill="1" applyBorder="1">
      <alignment vertical="center"/>
    </xf>
    <xf numFmtId="3" fontId="9" fillId="0" borderId="21" xfId="5" applyNumberFormat="1" applyFont="1" applyBorder="1">
      <alignment vertical="center"/>
    </xf>
    <xf numFmtId="3" fontId="9" fillId="0" borderId="26" xfId="5" applyNumberFormat="1" applyFont="1" applyBorder="1">
      <alignment vertical="center"/>
    </xf>
    <xf numFmtId="3" fontId="9" fillId="0" borderId="27" xfId="5" applyNumberFormat="1" applyFont="1" applyBorder="1">
      <alignment vertical="center"/>
    </xf>
    <xf numFmtId="3" fontId="9" fillId="2" borderId="11" xfId="5" applyNumberFormat="1" applyFont="1" applyFill="1" applyBorder="1">
      <alignment vertical="center"/>
    </xf>
    <xf numFmtId="3" fontId="9" fillId="0" borderId="11" xfId="5" applyNumberFormat="1" applyFont="1" applyBorder="1">
      <alignment vertical="center"/>
    </xf>
    <xf numFmtId="3" fontId="10" fillId="0" borderId="11" xfId="5" applyNumberFormat="1" applyFont="1" applyBorder="1">
      <alignment vertical="center"/>
    </xf>
    <xf numFmtId="3" fontId="10" fillId="0" borderId="7" xfId="5" applyNumberFormat="1" applyFont="1" applyBorder="1">
      <alignment vertical="center"/>
    </xf>
    <xf numFmtId="3" fontId="10" fillId="0" borderId="24" xfId="5" applyNumberFormat="1" applyFont="1" applyBorder="1">
      <alignment vertical="center"/>
    </xf>
    <xf numFmtId="3" fontId="10" fillId="2" borderId="11" xfId="5" applyNumberFormat="1" applyFont="1" applyFill="1" applyBorder="1">
      <alignment vertical="center"/>
    </xf>
    <xf numFmtId="3" fontId="10" fillId="2" borderId="21" xfId="4" applyNumberFormat="1" applyFont="1" applyFill="1" applyBorder="1">
      <alignment vertical="center"/>
    </xf>
    <xf numFmtId="3" fontId="10" fillId="0" borderId="21" xfId="4" applyNumberFormat="1" applyFont="1" applyBorder="1">
      <alignment vertical="center"/>
    </xf>
    <xf numFmtId="3" fontId="10" fillId="0" borderId="21" xfId="5" applyNumberFormat="1" applyFont="1" applyBorder="1">
      <alignment vertical="center"/>
    </xf>
    <xf numFmtId="3" fontId="10" fillId="0" borderId="26" xfId="5" applyNumberFormat="1" applyFont="1" applyBorder="1">
      <alignment vertical="center"/>
    </xf>
    <xf numFmtId="3" fontId="10" fillId="0" borderId="27" xfId="5" applyNumberFormat="1" applyFont="1" applyBorder="1">
      <alignment vertical="center"/>
    </xf>
    <xf numFmtId="3" fontId="9" fillId="0" borderId="21" xfId="4" applyNumberFormat="1" applyFont="1" applyBorder="1">
      <alignment vertical="center"/>
    </xf>
    <xf numFmtId="0" fontId="10" fillId="0" borderId="30" xfId="4" applyFont="1" applyBorder="1" applyAlignment="1">
      <alignment horizontal="center" vertical="center"/>
    </xf>
    <xf numFmtId="0" fontId="10" fillId="0" borderId="31" xfId="4" applyFont="1" applyBorder="1" applyAlignment="1">
      <alignment horizontal="left" vertical="center"/>
    </xf>
    <xf numFmtId="0" fontId="10" fillId="0" borderId="30" xfId="4" applyFont="1" applyBorder="1" applyAlignment="1">
      <alignment horizontal="left" vertical="center"/>
    </xf>
    <xf numFmtId="3" fontId="9" fillId="0" borderId="7" xfId="5" applyNumberFormat="1" applyFont="1" applyBorder="1">
      <alignment vertical="center"/>
    </xf>
    <xf numFmtId="3" fontId="9" fillId="0" borderId="24" xfId="5" applyNumberFormat="1" applyFont="1" applyBorder="1">
      <alignment vertical="center"/>
    </xf>
    <xf numFmtId="0" fontId="10" fillId="0" borderId="25" xfId="4" applyFont="1" applyBorder="1" applyAlignment="1">
      <alignment horizontal="left" vertical="center"/>
    </xf>
    <xf numFmtId="3" fontId="10" fillId="0" borderId="32" xfId="5" applyNumberFormat="1" applyFont="1" applyBorder="1">
      <alignment vertical="center"/>
    </xf>
    <xf numFmtId="3" fontId="10" fillId="0" borderId="12" xfId="5" applyNumberFormat="1" applyFont="1" applyBorder="1">
      <alignment vertical="center"/>
    </xf>
    <xf numFmtId="0" fontId="10" fillId="0" borderId="33" xfId="4" applyFont="1" applyBorder="1" applyAlignment="1">
      <alignment horizontal="left" vertical="center"/>
    </xf>
    <xf numFmtId="3" fontId="10" fillId="0" borderId="32" xfId="4" applyNumberFormat="1" applyFont="1" applyBorder="1">
      <alignment vertical="center"/>
    </xf>
    <xf numFmtId="3" fontId="10" fillId="0" borderId="34" xfId="5" applyNumberFormat="1" applyFont="1" applyBorder="1">
      <alignment vertical="center"/>
    </xf>
    <xf numFmtId="0" fontId="10" fillId="0" borderId="0" xfId="4" applyFont="1">
      <alignment vertical="center"/>
    </xf>
    <xf numFmtId="0" fontId="10" fillId="0" borderId="33" xfId="4" applyFont="1" applyBorder="1">
      <alignment vertical="center"/>
    </xf>
    <xf numFmtId="3" fontId="10" fillId="0" borderId="25" xfId="5" applyNumberFormat="1" applyFont="1" applyBorder="1">
      <alignment vertical="center"/>
    </xf>
    <xf numFmtId="3" fontId="10" fillId="0" borderId="33" xfId="5" applyNumberFormat="1" applyFont="1" applyBorder="1">
      <alignment vertical="center"/>
    </xf>
    <xf numFmtId="3" fontId="10" fillId="2" borderId="32" xfId="4" applyNumberFormat="1" applyFont="1" applyFill="1" applyBorder="1">
      <alignment vertical="center"/>
    </xf>
    <xf numFmtId="3" fontId="10" fillId="2" borderId="33" xfId="4" applyNumberFormat="1" applyFont="1" applyFill="1" applyBorder="1">
      <alignment vertical="center"/>
    </xf>
    <xf numFmtId="3" fontId="9" fillId="0" borderId="11" xfId="4" applyNumberFormat="1" applyFont="1" applyBorder="1">
      <alignment vertical="center"/>
    </xf>
    <xf numFmtId="3" fontId="11" fillId="0" borderId="12" xfId="5" applyNumberFormat="1" applyFont="1" applyBorder="1">
      <alignment vertical="center"/>
    </xf>
    <xf numFmtId="3" fontId="11" fillId="0" borderId="34" xfId="5" applyNumberFormat="1" applyFont="1" applyBorder="1">
      <alignment vertical="center"/>
    </xf>
    <xf numFmtId="0" fontId="2" fillId="0" borderId="0" xfId="0" applyFont="1" applyAlignment="1">
      <alignment horizont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/>
    </xf>
    <xf numFmtId="0" fontId="10" fillId="0" borderId="32" xfId="4" applyFont="1" applyBorder="1" applyAlignment="1">
      <alignment horizontal="left" vertical="center"/>
    </xf>
    <xf numFmtId="0" fontId="10" fillId="0" borderId="38" xfId="4" applyFont="1" applyBorder="1" applyAlignment="1">
      <alignment horizontal="left" vertical="center"/>
    </xf>
    <xf numFmtId="0" fontId="10" fillId="0" borderId="38" xfId="4" applyFont="1" applyBorder="1" applyAlignment="1">
      <alignment horizontal="center" vertical="center"/>
    </xf>
    <xf numFmtId="0" fontId="10" fillId="0" borderId="27" xfId="4" applyFont="1" applyBorder="1" applyAlignment="1">
      <alignment vertical="center" shrinkToFit="1"/>
    </xf>
    <xf numFmtId="0" fontId="10" fillId="0" borderId="24" xfId="4" applyFont="1" applyBorder="1" applyAlignment="1">
      <alignment vertical="center" shrinkToFit="1"/>
    </xf>
    <xf numFmtId="0" fontId="10" fillId="0" borderId="34" xfId="4" applyFont="1" applyBorder="1" applyAlignment="1">
      <alignment vertical="center" shrinkToFit="1"/>
    </xf>
    <xf numFmtId="0" fontId="11" fillId="0" borderId="27" xfId="0" applyFont="1" applyBorder="1" applyAlignment="1">
      <alignment vertical="center" shrinkToFit="1"/>
    </xf>
    <xf numFmtId="0" fontId="11" fillId="0" borderId="24" xfId="0" applyFont="1" applyBorder="1" applyAlignment="1">
      <alignment vertical="center" shrinkToFit="1"/>
    </xf>
    <xf numFmtId="0" fontId="11" fillId="0" borderId="34" xfId="0" applyFont="1" applyBorder="1" applyAlignment="1">
      <alignment vertical="center" shrinkToFit="1"/>
    </xf>
    <xf numFmtId="0" fontId="18" fillId="0" borderId="21" xfId="4" applyBorder="1">
      <alignment vertical="center"/>
    </xf>
    <xf numFmtId="43" fontId="18" fillId="0" borderId="0" xfId="4" applyNumberFormat="1">
      <alignment vertical="center"/>
    </xf>
    <xf numFmtId="43" fontId="9" fillId="0" borderId="29" xfId="4" applyNumberFormat="1" applyFont="1" applyBorder="1" applyAlignment="1">
      <alignment horizontal="center" vertical="center"/>
    </xf>
    <xf numFmtId="43" fontId="9" fillId="0" borderId="26" xfId="1" applyNumberFormat="1" applyFont="1" applyBorder="1">
      <alignment vertical="center"/>
    </xf>
    <xf numFmtId="43" fontId="10" fillId="0" borderId="32" xfId="1" applyNumberFormat="1" applyFont="1" applyBorder="1">
      <alignment vertical="center"/>
    </xf>
    <xf numFmtId="43" fontId="10" fillId="0" borderId="26" xfId="1" applyNumberFormat="1" applyFont="1" applyBorder="1">
      <alignment vertical="center"/>
    </xf>
    <xf numFmtId="43" fontId="10" fillId="0" borderId="25" xfId="1" applyNumberFormat="1" applyFont="1" applyBorder="1">
      <alignment vertical="center"/>
    </xf>
    <xf numFmtId="43" fontId="10" fillId="0" borderId="38" xfId="1" applyNumberFormat="1" applyFont="1" applyBorder="1">
      <alignment vertical="center"/>
    </xf>
    <xf numFmtId="0" fontId="18" fillId="0" borderId="25" xfId="4" applyBorder="1">
      <alignment vertical="center"/>
    </xf>
    <xf numFmtId="0" fontId="18" fillId="0" borderId="33" xfId="4" applyBorder="1">
      <alignment vertical="center"/>
    </xf>
    <xf numFmtId="178" fontId="11" fillId="0" borderId="39" xfId="4" applyNumberFormat="1" applyFont="1" applyBorder="1">
      <alignment vertical="center"/>
    </xf>
    <xf numFmtId="178" fontId="11" fillId="0" borderId="0" xfId="4" applyNumberFormat="1" applyFont="1">
      <alignment vertical="center"/>
    </xf>
    <xf numFmtId="178" fontId="11" fillId="0" borderId="40" xfId="4" applyNumberFormat="1" applyFont="1" applyBorder="1">
      <alignment vertical="center"/>
    </xf>
    <xf numFmtId="178" fontId="11" fillId="0" borderId="41" xfId="4" applyNumberFormat="1" applyFont="1" applyBorder="1">
      <alignment vertical="center"/>
    </xf>
    <xf numFmtId="178" fontId="10" fillId="0" borderId="41" xfId="4" applyNumberFormat="1" applyFont="1" applyBorder="1">
      <alignment vertical="center"/>
    </xf>
    <xf numFmtId="178" fontId="10" fillId="0" borderId="42" xfId="4" applyNumberFormat="1" applyFont="1" applyBorder="1">
      <alignment vertical="center"/>
    </xf>
    <xf numFmtId="43" fontId="9" fillId="0" borderId="43" xfId="4" applyNumberFormat="1" applyFont="1" applyBorder="1" applyAlignment="1">
      <alignment horizontal="center" vertical="center"/>
    </xf>
    <xf numFmtId="43" fontId="9" fillId="0" borderId="26" xfId="6" applyNumberFormat="1" applyFont="1" applyBorder="1">
      <alignment vertical="center"/>
    </xf>
    <xf numFmtId="43" fontId="9" fillId="0" borderId="7" xfId="6" applyNumberFormat="1" applyFont="1" applyBorder="1">
      <alignment vertical="center"/>
    </xf>
    <xf numFmtId="43" fontId="10" fillId="0" borderId="7" xfId="6" applyNumberFormat="1" applyFont="1" applyBorder="1">
      <alignment vertical="center"/>
    </xf>
    <xf numFmtId="43" fontId="9" fillId="0" borderId="25" xfId="6" applyNumberFormat="1" applyFont="1" applyBorder="1">
      <alignment vertical="center"/>
    </xf>
    <xf numFmtId="43" fontId="10" fillId="0" borderId="25" xfId="6" applyNumberFormat="1" applyFont="1" applyBorder="1">
      <alignment vertical="center"/>
    </xf>
    <xf numFmtId="43" fontId="10" fillId="0" borderId="12" xfId="6" applyNumberFormat="1" applyFont="1" applyBorder="1">
      <alignment vertical="center"/>
    </xf>
    <xf numFmtId="43" fontId="10" fillId="0" borderId="32" xfId="6" applyNumberFormat="1" applyFont="1" applyBorder="1">
      <alignment vertical="center"/>
    </xf>
    <xf numFmtId="43" fontId="10" fillId="0" borderId="33" xfId="6" applyNumberFormat="1" applyFont="1" applyBorder="1">
      <alignment vertical="center"/>
    </xf>
    <xf numFmtId="43" fontId="10" fillId="0" borderId="21" xfId="6" applyNumberFormat="1" applyFont="1" applyBorder="1">
      <alignment vertical="center"/>
    </xf>
    <xf numFmtId="0" fontId="11" fillId="0" borderId="0" xfId="4" applyFont="1">
      <alignment vertical="center"/>
    </xf>
    <xf numFmtId="3" fontId="11" fillId="0" borderId="0" xfId="4" applyNumberFormat="1" applyFont="1">
      <alignment vertical="center"/>
    </xf>
    <xf numFmtId="0" fontId="10" fillId="2" borderId="33" xfId="4" applyFont="1" applyFill="1" applyBorder="1" applyAlignment="1">
      <alignment horizontal="left" vertical="center"/>
    </xf>
    <xf numFmtId="0" fontId="10" fillId="2" borderId="21" xfId="4" applyFont="1" applyFill="1" applyBorder="1" applyAlignment="1">
      <alignment horizontal="left" vertical="center"/>
    </xf>
    <xf numFmtId="3" fontId="10" fillId="2" borderId="11" xfId="4" applyNumberFormat="1" applyFont="1" applyFill="1" applyBorder="1">
      <alignment vertical="center"/>
    </xf>
    <xf numFmtId="0" fontId="10" fillId="2" borderId="33" xfId="4" applyFont="1" applyFill="1" applyBorder="1" applyAlignment="1">
      <alignment horizontal="right" vertical="center"/>
    </xf>
    <xf numFmtId="0" fontId="10" fillId="2" borderId="21" xfId="4" applyFont="1" applyFill="1" applyBorder="1" applyAlignment="1">
      <alignment horizontal="right" vertical="center"/>
    </xf>
    <xf numFmtId="3" fontId="9" fillId="2" borderId="11" xfId="4" applyNumberFormat="1" applyFont="1" applyFill="1" applyBorder="1">
      <alignment vertical="center"/>
    </xf>
    <xf numFmtId="3" fontId="10" fillId="2" borderId="32" xfId="4" applyNumberFormat="1" applyFont="1" applyFill="1" applyBorder="1" applyAlignment="1">
      <alignment horizontal="right" vertical="center"/>
    </xf>
    <xf numFmtId="3" fontId="10" fillId="2" borderId="33" xfId="4" applyNumberFormat="1" applyFont="1" applyFill="1" applyBorder="1" applyAlignment="1">
      <alignment horizontal="right" vertical="center"/>
    </xf>
    <xf numFmtId="41" fontId="11" fillId="0" borderId="0" xfId="2" applyFont="1">
      <alignment vertical="center"/>
    </xf>
    <xf numFmtId="41" fontId="11" fillId="0" borderId="0" xfId="4" applyNumberFormat="1" applyFont="1">
      <alignment vertical="center"/>
    </xf>
    <xf numFmtId="41" fontId="10" fillId="2" borderId="33" xfId="2" applyFont="1" applyFill="1" applyBorder="1">
      <alignment vertical="center"/>
    </xf>
    <xf numFmtId="41" fontId="10" fillId="2" borderId="33" xfId="2" applyFont="1" applyFill="1" applyBorder="1" applyAlignment="1">
      <alignment horizontal="left" vertical="center"/>
    </xf>
    <xf numFmtId="41" fontId="10" fillId="2" borderId="21" xfId="2" applyFont="1" applyFill="1" applyBorder="1">
      <alignment vertical="center"/>
    </xf>
    <xf numFmtId="41" fontId="10" fillId="2" borderId="11" xfId="2" applyFont="1" applyFill="1" applyBorder="1">
      <alignment vertical="center"/>
    </xf>
    <xf numFmtId="43" fontId="9" fillId="0" borderId="11" xfId="1" applyNumberFormat="1" applyFont="1" applyBorder="1">
      <alignment vertical="center"/>
    </xf>
    <xf numFmtId="3" fontId="10" fillId="0" borderId="33" xfId="4" applyNumberFormat="1" applyFont="1" applyBorder="1">
      <alignment vertical="center"/>
    </xf>
    <xf numFmtId="0" fontId="18" fillId="0" borderId="27" xfId="4" applyBorder="1">
      <alignment vertical="center"/>
    </xf>
    <xf numFmtId="41" fontId="10" fillId="2" borderId="32" xfId="2" applyFont="1" applyFill="1" applyBorder="1" applyAlignment="1">
      <alignment horizontal="right" vertical="center"/>
    </xf>
    <xf numFmtId="0" fontId="9" fillId="0" borderId="34" xfId="4" applyFont="1" applyBorder="1" applyAlignment="1">
      <alignment vertical="center" shrinkToFit="1"/>
    </xf>
    <xf numFmtId="0" fontId="10" fillId="0" borderId="25" xfId="4" applyFont="1" applyBorder="1" applyAlignment="1">
      <alignment horizontal="center" vertical="center"/>
    </xf>
    <xf numFmtId="41" fontId="10" fillId="2" borderId="33" xfId="2" applyFont="1" applyFill="1" applyBorder="1" applyAlignment="1">
      <alignment horizontal="right" vertical="center"/>
    </xf>
    <xf numFmtId="43" fontId="10" fillId="0" borderId="26" xfId="6" applyNumberFormat="1" applyFont="1" applyBorder="1">
      <alignment vertical="center"/>
    </xf>
    <xf numFmtId="0" fontId="10" fillId="0" borderId="27" xfId="4" applyFont="1" applyBorder="1" applyAlignment="1">
      <alignment vertical="center" wrapText="1" shrinkToFit="1"/>
    </xf>
    <xf numFmtId="178" fontId="11" fillId="0" borderId="42" xfId="4" applyNumberFormat="1" applyFont="1" applyBorder="1">
      <alignment vertical="center"/>
    </xf>
    <xf numFmtId="0" fontId="10" fillId="2" borderId="0" xfId="4" applyFont="1" applyFill="1">
      <alignment vertical="center"/>
    </xf>
    <xf numFmtId="43" fontId="10" fillId="0" borderId="0" xfId="4" applyNumberFormat="1" applyFont="1">
      <alignment vertical="center"/>
    </xf>
    <xf numFmtId="178" fontId="11" fillId="0" borderId="44" xfId="4" applyNumberFormat="1" applyFont="1" applyBorder="1">
      <alignment vertical="center"/>
    </xf>
    <xf numFmtId="178" fontId="10" fillId="0" borderId="39" xfId="4" applyNumberFormat="1" applyFont="1" applyBorder="1">
      <alignment vertical="center"/>
    </xf>
    <xf numFmtId="0" fontId="10" fillId="0" borderId="31" xfId="4" applyFont="1" applyBorder="1" applyAlignment="1">
      <alignment horizontal="center" vertical="center"/>
    </xf>
    <xf numFmtId="0" fontId="10" fillId="0" borderId="45" xfId="4" applyFont="1" applyBorder="1" applyAlignment="1">
      <alignment horizontal="center" vertical="center"/>
    </xf>
    <xf numFmtId="3" fontId="10" fillId="0" borderId="8" xfId="4" applyNumberFormat="1" applyFont="1" applyBorder="1" applyAlignment="1">
      <alignment horizontal="right" vertical="center"/>
    </xf>
    <xf numFmtId="3" fontId="10" fillId="0" borderId="50" xfId="5" applyNumberFormat="1" applyFont="1" applyBorder="1">
      <alignment vertical="center"/>
    </xf>
    <xf numFmtId="0" fontId="18" fillId="0" borderId="50" xfId="4" applyBorder="1">
      <alignment vertical="center"/>
    </xf>
    <xf numFmtId="3" fontId="10" fillId="2" borderId="26" xfId="5" applyNumberFormat="1" applyFont="1" applyFill="1" applyBorder="1">
      <alignment vertical="center"/>
    </xf>
    <xf numFmtId="3" fontId="10" fillId="2" borderId="27" xfId="5" applyNumberFormat="1" applyFont="1" applyFill="1" applyBorder="1">
      <alignment vertical="center"/>
    </xf>
    <xf numFmtId="177" fontId="10" fillId="2" borderId="27" xfId="5" applyNumberFormat="1" applyFont="1" applyFill="1" applyBorder="1">
      <alignment vertical="center"/>
    </xf>
    <xf numFmtId="178" fontId="10" fillId="0" borderId="44" xfId="4" applyNumberFormat="1" applyFont="1" applyBorder="1">
      <alignment vertical="center"/>
    </xf>
    <xf numFmtId="178" fontId="10" fillId="2" borderId="42" xfId="4" applyNumberFormat="1" applyFont="1" applyFill="1" applyBorder="1">
      <alignment vertical="center"/>
    </xf>
    <xf numFmtId="3" fontId="10" fillId="2" borderId="21" xfId="5" applyNumberFormat="1" applyFont="1" applyFill="1" applyBorder="1">
      <alignment vertical="center"/>
    </xf>
    <xf numFmtId="43" fontId="10" fillId="2" borderId="21" xfId="6" applyNumberFormat="1" applyFont="1" applyFill="1" applyBorder="1">
      <alignment vertical="center"/>
    </xf>
    <xf numFmtId="0" fontId="10" fillId="0" borderId="21" xfId="4" applyFont="1" applyBorder="1" applyAlignment="1">
      <alignment horizontal="left" vertical="center"/>
    </xf>
    <xf numFmtId="3" fontId="10" fillId="2" borderId="32" xfId="5" applyNumberFormat="1" applyFont="1" applyFill="1" applyBorder="1">
      <alignment vertical="center"/>
    </xf>
    <xf numFmtId="0" fontId="10" fillId="0" borderId="11" xfId="4" applyFont="1" applyBorder="1" applyAlignment="1">
      <alignment horizontal="left" vertical="center"/>
    </xf>
    <xf numFmtId="0" fontId="9" fillId="0" borderId="43" xfId="4" applyFont="1" applyBorder="1" applyAlignment="1">
      <alignment horizontal="center" vertical="center"/>
    </xf>
    <xf numFmtId="0" fontId="10" fillId="0" borderId="33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0" fillId="0" borderId="50" xfId="4" applyFont="1" applyBorder="1" applyAlignment="1">
      <alignment vertical="center" shrinkToFit="1"/>
    </xf>
    <xf numFmtId="43" fontId="10" fillId="0" borderId="11" xfId="6" applyNumberFormat="1" applyFont="1" applyBorder="1">
      <alignment vertical="center"/>
    </xf>
    <xf numFmtId="3" fontId="0" fillId="0" borderId="0" xfId="0" applyNumberFormat="1">
      <alignment vertical="center"/>
    </xf>
    <xf numFmtId="3" fontId="10" fillId="0" borderId="22" xfId="0" applyNumberFormat="1" applyFont="1" applyBorder="1">
      <alignment vertical="center"/>
    </xf>
    <xf numFmtId="3" fontId="10" fillId="0" borderId="8" xfId="0" applyNumberFormat="1" applyFont="1" applyBorder="1">
      <alignment vertical="center"/>
    </xf>
    <xf numFmtId="178" fontId="18" fillId="0" borderId="0" xfId="4" applyNumberFormat="1">
      <alignment vertical="center"/>
    </xf>
    <xf numFmtId="43" fontId="10" fillId="0" borderId="12" xfId="1" applyNumberFormat="1" applyFont="1" applyBorder="1">
      <alignment vertical="center"/>
    </xf>
    <xf numFmtId="43" fontId="10" fillId="0" borderId="21" xfId="1" applyNumberFormat="1" applyFont="1" applyBorder="1">
      <alignment vertical="center"/>
    </xf>
    <xf numFmtId="1" fontId="18" fillId="0" borderId="0" xfId="4" applyNumberFormat="1">
      <alignment vertical="center"/>
    </xf>
    <xf numFmtId="1" fontId="18" fillId="3" borderId="0" xfId="4" applyNumberFormat="1" applyFill="1">
      <alignment vertical="center"/>
    </xf>
    <xf numFmtId="0" fontId="16" fillId="0" borderId="0" xfId="0" applyFont="1" applyAlignment="1">
      <alignment horizontal="center"/>
    </xf>
    <xf numFmtId="3" fontId="10" fillId="0" borderId="25" xfId="5" applyNumberFormat="1" applyFont="1" applyBorder="1" applyAlignment="1">
      <alignment horizontal="left" vertical="center"/>
    </xf>
    <xf numFmtId="3" fontId="10" fillId="0" borderId="26" xfId="5" applyNumberFormat="1" applyFont="1" applyBorder="1" applyAlignment="1">
      <alignment horizontal="left" vertical="center"/>
    </xf>
    <xf numFmtId="0" fontId="10" fillId="0" borderId="7" xfId="4" applyFont="1" applyBorder="1" applyAlignment="1">
      <alignment horizontal="center" vertical="center"/>
    </xf>
    <xf numFmtId="0" fontId="18" fillId="0" borderId="35" xfId="4" applyBorder="1">
      <alignment vertical="center"/>
    </xf>
    <xf numFmtId="0" fontId="18" fillId="2" borderId="55" xfId="4" applyFill="1" applyBorder="1">
      <alignment vertical="center"/>
    </xf>
    <xf numFmtId="43" fontId="18" fillId="0" borderId="35" xfId="4" applyNumberFormat="1" applyBorder="1">
      <alignment vertical="center"/>
    </xf>
    <xf numFmtId="0" fontId="18" fillId="0" borderId="30" xfId="4" applyBorder="1">
      <alignment vertical="center"/>
    </xf>
    <xf numFmtId="178" fontId="11" fillId="0" borderId="56" xfId="4" applyNumberFormat="1" applyFont="1" applyBorder="1">
      <alignment vertical="center"/>
    </xf>
    <xf numFmtId="41" fontId="10" fillId="2" borderId="11" xfId="2" applyFont="1" applyFill="1" applyBorder="1" applyAlignment="1">
      <alignment horizontal="left" vertical="center"/>
    </xf>
    <xf numFmtId="178" fontId="10" fillId="0" borderId="24" xfId="4" applyNumberFormat="1" applyFont="1" applyBorder="1" applyAlignment="1">
      <alignment horizontal="right" vertical="center"/>
    </xf>
    <xf numFmtId="0" fontId="10" fillId="0" borderId="21" xfId="4" applyFont="1" applyBorder="1" applyAlignment="1">
      <alignment horizontal="center" vertical="center"/>
    </xf>
    <xf numFmtId="0" fontId="10" fillId="0" borderId="26" xfId="4" applyFont="1" applyBorder="1" applyAlignment="1">
      <alignment horizontal="left" vertical="center"/>
    </xf>
    <xf numFmtId="43" fontId="9" fillId="0" borderId="21" xfId="1" applyNumberFormat="1" applyFont="1" applyBorder="1">
      <alignment vertical="center"/>
    </xf>
    <xf numFmtId="0" fontId="10" fillId="0" borderId="12" xfId="4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 shrinkToFit="1"/>
    </xf>
    <xf numFmtId="3" fontId="21" fillId="0" borderId="27" xfId="5" applyNumberFormat="1" applyFont="1" applyBorder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0" fontId="9" fillId="0" borderId="61" xfId="4" applyFont="1" applyBorder="1" applyAlignment="1">
      <alignment horizontal="center" vertical="center"/>
    </xf>
    <xf numFmtId="0" fontId="9" fillId="0" borderId="36" xfId="4" applyFont="1" applyBorder="1" applyAlignment="1">
      <alignment horizontal="center" vertical="center"/>
    </xf>
    <xf numFmtId="0" fontId="9" fillId="0" borderId="37" xfId="4" applyFont="1" applyBorder="1" applyAlignment="1">
      <alignment horizontal="center" vertical="center"/>
    </xf>
    <xf numFmtId="0" fontId="9" fillId="0" borderId="62" xfId="4" applyFont="1" applyBorder="1" applyAlignment="1">
      <alignment horizontal="center" vertical="center"/>
    </xf>
    <xf numFmtId="0" fontId="9" fillId="0" borderId="62" xfId="4" applyFont="1" applyBorder="1" applyAlignment="1">
      <alignment horizontal="center" vertical="center" shrinkToFit="1"/>
    </xf>
    <xf numFmtId="3" fontId="10" fillId="0" borderId="27" xfId="4" applyNumberFormat="1" applyFont="1" applyBorder="1">
      <alignment vertical="center"/>
    </xf>
    <xf numFmtId="3" fontId="10" fillId="0" borderId="5" xfId="4" applyNumberFormat="1" applyFont="1" applyBorder="1" applyAlignment="1">
      <alignment horizontal="right" vertical="center"/>
    </xf>
    <xf numFmtId="3" fontId="10" fillId="0" borderId="7" xfId="4" applyNumberFormat="1" applyFont="1" applyBorder="1">
      <alignment vertical="center"/>
    </xf>
    <xf numFmtId="3" fontId="10" fillId="0" borderId="8" xfId="4" applyNumberFormat="1" applyFont="1" applyBorder="1">
      <alignment vertical="center"/>
    </xf>
    <xf numFmtId="3" fontId="10" fillId="0" borderId="39" xfId="4" applyNumberFormat="1" applyFont="1" applyBorder="1">
      <alignment vertical="center"/>
    </xf>
    <xf numFmtId="0" fontId="10" fillId="0" borderId="0" xfId="4" applyFont="1" applyAlignment="1">
      <alignment horizontal="center" vertical="center"/>
    </xf>
    <xf numFmtId="41" fontId="10" fillId="0" borderId="0" xfId="4" applyNumberFormat="1" applyFont="1" applyAlignment="1">
      <alignment horizontal="right" vertical="center"/>
    </xf>
    <xf numFmtId="41" fontId="10" fillId="0" borderId="0" xfId="4" applyNumberFormat="1" applyFont="1">
      <alignment vertical="center"/>
    </xf>
    <xf numFmtId="3" fontId="10" fillId="0" borderId="0" xfId="4" applyNumberFormat="1" applyFont="1" applyAlignment="1">
      <alignment horizontal="right" vertical="center"/>
    </xf>
    <xf numFmtId="0" fontId="9" fillId="0" borderId="49" xfId="4" applyFont="1" applyBorder="1" applyAlignment="1">
      <alignment horizontal="center" vertical="center"/>
    </xf>
    <xf numFmtId="3" fontId="10" fillId="0" borderId="4" xfId="4" applyNumberFormat="1" applyFont="1" applyBorder="1">
      <alignment vertical="center"/>
    </xf>
    <xf numFmtId="3" fontId="10" fillId="0" borderId="39" xfId="4" applyNumberFormat="1" applyFont="1" applyBorder="1" applyAlignment="1">
      <alignment horizontal="right" vertical="center"/>
    </xf>
    <xf numFmtId="0" fontId="10" fillId="0" borderId="6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6" xfId="4" applyFont="1" applyBorder="1" applyAlignment="1">
      <alignment horizontal="left" vertical="center"/>
    </xf>
    <xf numFmtId="0" fontId="10" fillId="0" borderId="74" xfId="0" applyFont="1" applyBorder="1" applyAlignment="1">
      <alignment horizontal="center" vertical="center" wrapText="1"/>
    </xf>
    <xf numFmtId="3" fontId="10" fillId="0" borderId="55" xfId="0" applyNumberFormat="1" applyFont="1" applyBorder="1">
      <alignment vertical="center"/>
    </xf>
    <xf numFmtId="3" fontId="10" fillId="0" borderId="75" xfId="0" applyNumberFormat="1" applyFont="1" applyBorder="1">
      <alignment vertical="center"/>
    </xf>
    <xf numFmtId="0" fontId="10" fillId="0" borderId="59" xfId="0" applyFont="1" applyBorder="1" applyAlignment="1">
      <alignment horizontal="center" vertical="center"/>
    </xf>
    <xf numFmtId="43" fontId="9" fillId="0" borderId="21" xfId="6" applyNumberFormat="1" applyFont="1" applyBorder="1">
      <alignment vertical="center"/>
    </xf>
    <xf numFmtId="0" fontId="18" fillId="0" borderId="76" xfId="4" applyBorder="1">
      <alignment vertical="center"/>
    </xf>
    <xf numFmtId="0" fontId="10" fillId="0" borderId="55" xfId="4" applyFont="1" applyBorder="1" applyAlignment="1">
      <alignment horizontal="center" vertical="center"/>
    </xf>
    <xf numFmtId="0" fontId="10" fillId="0" borderId="59" xfId="4" applyFont="1" applyBorder="1" applyAlignment="1">
      <alignment horizontal="center" vertical="center"/>
    </xf>
    <xf numFmtId="43" fontId="10" fillId="0" borderId="0" xfId="1" applyNumberFormat="1" applyFont="1">
      <alignment vertical="center"/>
    </xf>
    <xf numFmtId="3" fontId="11" fillId="0" borderId="0" xfId="5" applyNumberFormat="1" applyFont="1">
      <alignment vertical="center"/>
    </xf>
    <xf numFmtId="0" fontId="11" fillId="0" borderId="0" xfId="0" applyFont="1" applyAlignment="1">
      <alignment vertical="center" shrinkToFit="1"/>
    </xf>
    <xf numFmtId="0" fontId="10" fillId="0" borderId="59" xfId="4" applyFont="1" applyBorder="1" applyAlignment="1">
      <alignment horizontal="left" vertical="center"/>
    </xf>
    <xf numFmtId="0" fontId="10" fillId="0" borderId="74" xfId="4" applyFont="1" applyBorder="1" applyAlignment="1">
      <alignment horizontal="left" vertical="center"/>
    </xf>
    <xf numFmtId="0" fontId="10" fillId="0" borderId="55" xfId="4" applyFont="1" applyBorder="1" applyAlignment="1">
      <alignment horizontal="left" vertical="center"/>
    </xf>
    <xf numFmtId="3" fontId="10" fillId="2" borderId="55" xfId="4" applyNumberFormat="1" applyFont="1" applyFill="1" applyBorder="1">
      <alignment vertical="center"/>
    </xf>
    <xf numFmtId="3" fontId="10" fillId="0" borderId="55" xfId="5" applyNumberFormat="1" applyFont="1" applyBorder="1">
      <alignment vertical="center"/>
    </xf>
    <xf numFmtId="43" fontId="10" fillId="0" borderId="35" xfId="1" applyNumberFormat="1" applyFont="1" applyBorder="1">
      <alignment vertical="center"/>
    </xf>
    <xf numFmtId="3" fontId="11" fillId="0" borderId="35" xfId="5" applyNumberFormat="1" applyFont="1" applyBorder="1">
      <alignment vertical="center"/>
    </xf>
    <xf numFmtId="3" fontId="11" fillId="0" borderId="50" xfId="5" applyNumberFormat="1" applyFont="1" applyBorder="1">
      <alignment vertical="center"/>
    </xf>
    <xf numFmtId="0" fontId="11" fillId="0" borderId="50" xfId="0" applyFont="1" applyBorder="1" applyAlignment="1">
      <alignment vertical="center" shrinkToFit="1"/>
    </xf>
    <xf numFmtId="178" fontId="10" fillId="0" borderId="56" xfId="4" applyNumberFormat="1" applyFont="1" applyBorder="1">
      <alignment vertical="center"/>
    </xf>
    <xf numFmtId="3" fontId="9" fillId="2" borderId="77" xfId="4" applyNumberFormat="1" applyFont="1" applyFill="1" applyBorder="1">
      <alignment vertical="center"/>
    </xf>
    <xf numFmtId="3" fontId="9" fillId="0" borderId="77" xfId="4" applyNumberFormat="1" applyFont="1" applyBorder="1">
      <alignment vertical="center"/>
    </xf>
    <xf numFmtId="3" fontId="9" fillId="0" borderId="77" xfId="5" applyNumberFormat="1" applyFont="1" applyBorder="1">
      <alignment vertical="center"/>
    </xf>
    <xf numFmtId="43" fontId="10" fillId="0" borderId="57" xfId="1" applyNumberFormat="1" applyFont="1" applyBorder="1">
      <alignment vertical="center"/>
    </xf>
    <xf numFmtId="3" fontId="11" fillId="0" borderId="57" xfId="5" applyNumberFormat="1" applyFont="1" applyBorder="1">
      <alignment vertical="center"/>
    </xf>
    <xf numFmtId="3" fontId="11" fillId="0" borderId="58" xfId="5" applyNumberFormat="1" applyFont="1" applyBorder="1">
      <alignment vertical="center"/>
    </xf>
    <xf numFmtId="0" fontId="11" fillId="0" borderId="58" xfId="0" applyFont="1" applyBorder="1" applyAlignment="1">
      <alignment vertical="center" shrinkToFit="1"/>
    </xf>
    <xf numFmtId="178" fontId="11" fillId="0" borderId="78" xfId="4" applyNumberFormat="1" applyFont="1" applyBorder="1">
      <alignment vertical="center"/>
    </xf>
    <xf numFmtId="3" fontId="10" fillId="2" borderId="0" xfId="5" applyNumberFormat="1" applyFont="1" applyFill="1">
      <alignment vertical="center"/>
    </xf>
    <xf numFmtId="3" fontId="10" fillId="0" borderId="0" xfId="5" applyNumberFormat="1" applyFont="1">
      <alignment vertical="center"/>
    </xf>
    <xf numFmtId="0" fontId="10" fillId="0" borderId="0" xfId="4" applyFont="1" applyAlignment="1">
      <alignment vertical="center" shrinkToFit="1"/>
    </xf>
    <xf numFmtId="3" fontId="21" fillId="0" borderId="0" xfId="5" applyNumberFormat="1" applyFont="1">
      <alignment vertical="center"/>
    </xf>
    <xf numFmtId="3" fontId="20" fillId="0" borderId="0" xfId="5" applyNumberFormat="1" applyFont="1">
      <alignment vertical="center"/>
    </xf>
    <xf numFmtId="0" fontId="10" fillId="0" borderId="74" xfId="4" applyFont="1" applyBorder="1" applyAlignment="1">
      <alignment horizontal="center" vertical="center"/>
    </xf>
    <xf numFmtId="41" fontId="10" fillId="2" borderId="55" xfId="2" applyFont="1" applyFill="1" applyBorder="1" applyAlignment="1">
      <alignment horizontal="left" vertical="center"/>
    </xf>
    <xf numFmtId="0" fontId="11" fillId="0" borderId="50" xfId="4" applyFont="1" applyBorder="1">
      <alignment vertical="center"/>
    </xf>
    <xf numFmtId="43" fontId="10" fillId="0" borderId="35" xfId="6" applyNumberFormat="1" applyFont="1" applyBorder="1">
      <alignment vertical="center"/>
    </xf>
    <xf numFmtId="3" fontId="10" fillId="0" borderId="35" xfId="5" applyNumberFormat="1" applyFont="1" applyBorder="1" applyAlignment="1">
      <alignment horizontal="left" vertical="center"/>
    </xf>
    <xf numFmtId="0" fontId="10" fillId="0" borderId="79" xfId="4" applyFont="1" applyBorder="1" applyAlignment="1">
      <alignment horizontal="center" vertical="center"/>
    </xf>
    <xf numFmtId="0" fontId="10" fillId="0" borderId="80" xfId="4" applyFont="1" applyBorder="1" applyAlignment="1">
      <alignment horizontal="center" vertical="center"/>
    </xf>
    <xf numFmtId="0" fontId="10" fillId="0" borderId="51" xfId="4" applyFont="1" applyBorder="1" applyAlignment="1">
      <alignment horizontal="left" vertical="center"/>
    </xf>
    <xf numFmtId="41" fontId="10" fillId="2" borderId="51" xfId="2" applyFont="1" applyFill="1" applyBorder="1" applyAlignment="1">
      <alignment horizontal="left" vertical="center"/>
    </xf>
    <xf numFmtId="0" fontId="11" fillId="0" borderId="53" xfId="4" applyFont="1" applyBorder="1">
      <alignment vertical="center"/>
    </xf>
    <xf numFmtId="3" fontId="10" fillId="0" borderId="51" xfId="5" applyNumberFormat="1" applyFont="1" applyBorder="1">
      <alignment vertical="center"/>
    </xf>
    <xf numFmtId="43" fontId="10" fillId="0" borderId="52" xfId="6" applyNumberFormat="1" applyFont="1" applyBorder="1">
      <alignment vertical="center"/>
    </xf>
    <xf numFmtId="3" fontId="10" fillId="0" borderId="52" xfId="5" applyNumberFormat="1" applyFont="1" applyBorder="1">
      <alignment vertical="center"/>
    </xf>
    <xf numFmtId="3" fontId="10" fillId="0" borderId="53" xfId="5" applyNumberFormat="1" applyFont="1" applyBorder="1">
      <alignment vertical="center"/>
    </xf>
    <xf numFmtId="0" fontId="10" fillId="0" borderId="53" xfId="4" applyFont="1" applyBorder="1" applyAlignment="1">
      <alignment vertical="center" shrinkToFit="1"/>
    </xf>
    <xf numFmtId="178" fontId="10" fillId="0" borderId="54" xfId="4" applyNumberFormat="1" applyFont="1" applyBorder="1">
      <alignment vertical="center"/>
    </xf>
    <xf numFmtId="179" fontId="10" fillId="0" borderId="0" xfId="5" applyNumberFormat="1" applyFont="1">
      <alignment vertical="center"/>
    </xf>
    <xf numFmtId="180" fontId="10" fillId="0" borderId="0" xfId="5" applyNumberFormat="1" applyFont="1">
      <alignment vertical="center"/>
    </xf>
    <xf numFmtId="176" fontId="10" fillId="0" borderId="0" xfId="5" applyNumberFormat="1" applyFont="1">
      <alignment vertical="center"/>
    </xf>
    <xf numFmtId="3" fontId="10" fillId="0" borderId="55" xfId="4" applyNumberFormat="1" applyFont="1" applyBorder="1">
      <alignment vertical="center"/>
    </xf>
    <xf numFmtId="43" fontId="10" fillId="0" borderId="55" xfId="6" applyNumberFormat="1" applyFont="1" applyBorder="1">
      <alignment vertical="center"/>
    </xf>
    <xf numFmtId="3" fontId="10" fillId="0" borderId="35" xfId="5" applyNumberFormat="1" applyFont="1" applyBorder="1">
      <alignment vertical="center"/>
    </xf>
    <xf numFmtId="3" fontId="10" fillId="0" borderId="47" xfId="5" applyNumberFormat="1" applyFont="1" applyBorder="1">
      <alignment vertical="center"/>
    </xf>
    <xf numFmtId="178" fontId="10" fillId="0" borderId="48" xfId="4" applyNumberFormat="1" applyFont="1" applyBorder="1">
      <alignment vertical="center"/>
    </xf>
    <xf numFmtId="3" fontId="10" fillId="0" borderId="77" xfId="4" applyNumberFormat="1" applyFont="1" applyBorder="1">
      <alignment vertical="center"/>
    </xf>
    <xf numFmtId="3" fontId="10" fillId="0" borderId="77" xfId="5" applyNumberFormat="1" applyFont="1" applyBorder="1">
      <alignment vertical="center"/>
    </xf>
    <xf numFmtId="43" fontId="10" fillId="0" borderId="57" xfId="6" applyNumberFormat="1" applyFont="1" applyBorder="1">
      <alignment vertical="center"/>
    </xf>
    <xf numFmtId="3" fontId="10" fillId="0" borderId="57" xfId="5" applyNumberFormat="1" applyFont="1" applyBorder="1">
      <alignment vertical="center"/>
    </xf>
    <xf numFmtId="3" fontId="10" fillId="0" borderId="58" xfId="5" applyNumberFormat="1" applyFont="1" applyBorder="1">
      <alignment vertical="center"/>
    </xf>
    <xf numFmtId="0" fontId="10" fillId="0" borderId="58" xfId="4" applyFont="1" applyBorder="1" applyAlignment="1">
      <alignment vertical="center" shrinkToFit="1"/>
    </xf>
    <xf numFmtId="0" fontId="10" fillId="0" borderId="0" xfId="4" applyFont="1" applyAlignment="1">
      <alignment horizontal="left" vertical="center"/>
    </xf>
    <xf numFmtId="3" fontId="10" fillId="0" borderId="0" xfId="4" applyNumberFormat="1" applyFont="1">
      <alignment vertical="center"/>
    </xf>
    <xf numFmtId="0" fontId="10" fillId="0" borderId="16" xfId="4" applyFont="1" applyBorder="1" applyAlignment="1">
      <alignment horizontal="left" vertical="center"/>
    </xf>
    <xf numFmtId="41" fontId="10" fillId="2" borderId="55" xfId="2" applyFont="1" applyFill="1" applyBorder="1">
      <alignment vertical="center"/>
    </xf>
    <xf numFmtId="3" fontId="10" fillId="0" borderId="16" xfId="5" applyNumberFormat="1" applyFont="1" applyBorder="1">
      <alignment vertical="center"/>
    </xf>
    <xf numFmtId="43" fontId="10" fillId="0" borderId="46" xfId="6" applyNumberFormat="1" applyFont="1" applyBorder="1">
      <alignment vertical="center"/>
    </xf>
    <xf numFmtId="178" fontId="11" fillId="0" borderId="48" xfId="4" applyNumberFormat="1" applyFont="1" applyBorder="1">
      <alignment vertical="center"/>
    </xf>
    <xf numFmtId="43" fontId="9" fillId="0" borderId="57" xfId="6" applyNumberFormat="1" applyFont="1" applyBorder="1">
      <alignment vertical="center"/>
    </xf>
    <xf numFmtId="3" fontId="10" fillId="0" borderId="46" xfId="5" applyNumberFormat="1" applyFont="1" applyBorder="1">
      <alignment vertical="center"/>
    </xf>
    <xf numFmtId="0" fontId="10" fillId="0" borderId="47" xfId="4" applyFont="1" applyBorder="1" applyAlignment="1">
      <alignment vertical="center" shrinkToFit="1"/>
    </xf>
    <xf numFmtId="0" fontId="10" fillId="0" borderId="6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0" borderId="66" xfId="4" applyFont="1" applyBorder="1" applyAlignment="1">
      <alignment horizontal="center" vertical="center"/>
    </xf>
    <xf numFmtId="0" fontId="10" fillId="0" borderId="71" xfId="4" applyFont="1" applyBorder="1" applyAlignment="1">
      <alignment horizontal="center" vertical="center"/>
    </xf>
    <xf numFmtId="0" fontId="10" fillId="0" borderId="19" xfId="4" applyFont="1" applyBorder="1" applyAlignment="1">
      <alignment horizontal="center" vertical="center"/>
    </xf>
    <xf numFmtId="0" fontId="10" fillId="0" borderId="67" xfId="4" applyFont="1" applyBorder="1" applyAlignment="1">
      <alignment horizontal="left" vertical="center"/>
    </xf>
    <xf numFmtId="0" fontId="10" fillId="0" borderId="24" xfId="4" applyFont="1" applyBorder="1" applyAlignment="1">
      <alignment horizontal="left" vertical="center"/>
    </xf>
    <xf numFmtId="0" fontId="10" fillId="0" borderId="6" xfId="4" applyFont="1" applyBorder="1" applyAlignment="1">
      <alignment horizontal="left" vertical="center"/>
    </xf>
    <xf numFmtId="0" fontId="17" fillId="0" borderId="0" xfId="4" applyFont="1" applyAlignment="1">
      <alignment horizontal="left" vertical="center"/>
    </xf>
    <xf numFmtId="0" fontId="9" fillId="0" borderId="68" xfId="4" applyFont="1" applyBorder="1" applyAlignment="1">
      <alignment horizontal="center" vertical="center"/>
    </xf>
    <xf numFmtId="0" fontId="9" fillId="0" borderId="58" xfId="4" applyFont="1" applyBorder="1" applyAlignment="1">
      <alignment horizontal="center" vertical="center"/>
    </xf>
    <xf numFmtId="0" fontId="9" fillId="0" borderId="64" xfId="4" applyFont="1" applyBorder="1" applyAlignment="1">
      <alignment horizontal="center" vertical="center"/>
    </xf>
    <xf numFmtId="0" fontId="9" fillId="0" borderId="51" xfId="4" applyFont="1" applyBorder="1" applyAlignment="1">
      <alignment horizontal="center" vertical="center" wrapText="1"/>
    </xf>
    <xf numFmtId="0" fontId="9" fillId="0" borderId="43" xfId="4" applyFont="1" applyBorder="1" applyAlignment="1">
      <alignment horizontal="center" vertical="center" wrapText="1"/>
    </xf>
    <xf numFmtId="0" fontId="9" fillId="0" borderId="57" xfId="4" applyFont="1" applyBorder="1" applyAlignment="1">
      <alignment horizontal="center" vertical="center"/>
    </xf>
    <xf numFmtId="0" fontId="9" fillId="0" borderId="52" xfId="4" applyFont="1" applyBorder="1" applyAlignment="1">
      <alignment horizontal="center" vertical="center"/>
    </xf>
    <xf numFmtId="0" fontId="9" fillId="0" borderId="53" xfId="4" applyFont="1" applyBorder="1" applyAlignment="1">
      <alignment horizontal="center" vertical="center"/>
    </xf>
    <xf numFmtId="0" fontId="0" fillId="0" borderId="54" xfId="0" applyBorder="1">
      <alignment vertical="center"/>
    </xf>
    <xf numFmtId="0" fontId="9" fillId="0" borderId="29" xfId="4" applyFont="1" applyBorder="1" applyAlignment="1">
      <alignment horizontal="center" vertical="center"/>
    </xf>
    <xf numFmtId="0" fontId="9" fillId="0" borderId="69" xfId="4" applyFont="1" applyBorder="1" applyAlignment="1">
      <alignment horizontal="center" vertical="center"/>
    </xf>
    <xf numFmtId="0" fontId="0" fillId="0" borderId="70" xfId="0" applyBorder="1">
      <alignment vertical="center"/>
    </xf>
    <xf numFmtId="0" fontId="10" fillId="0" borderId="0" xfId="4" applyFont="1" applyAlignment="1">
      <alignment horizontal="right" vertical="center"/>
    </xf>
    <xf numFmtId="0" fontId="0" fillId="0" borderId="0" xfId="0">
      <alignment vertical="center"/>
    </xf>
    <xf numFmtId="0" fontId="10" fillId="0" borderId="7" xfId="4" applyFont="1" applyBorder="1" applyAlignment="1">
      <alignment horizontal="left" vertical="center"/>
    </xf>
    <xf numFmtId="0" fontId="10" fillId="0" borderId="9" xfId="4" applyFont="1" applyBorder="1" applyAlignment="1">
      <alignment horizontal="left" vertical="center"/>
    </xf>
    <xf numFmtId="0" fontId="10" fillId="0" borderId="9" xfId="4" applyFont="1" applyBorder="1" applyAlignment="1">
      <alignment horizontal="center" vertical="center"/>
    </xf>
    <xf numFmtId="0" fontId="10" fillId="0" borderId="11" xfId="4" applyFont="1" applyBorder="1" applyAlignment="1">
      <alignment horizontal="left" vertical="center"/>
    </xf>
    <xf numFmtId="3" fontId="10" fillId="0" borderId="24" xfId="5" applyNumberFormat="1" applyFont="1" applyBorder="1" applyAlignment="1">
      <alignment horizontal="right" vertical="center"/>
    </xf>
    <xf numFmtId="0" fontId="10" fillId="0" borderId="45" xfId="4" applyFont="1" applyBorder="1" applyAlignment="1">
      <alignment horizontal="left" vertical="center"/>
    </xf>
    <xf numFmtId="0" fontId="10" fillId="0" borderId="68" xfId="4" applyFont="1" applyBorder="1" applyAlignment="1">
      <alignment horizontal="left" vertical="center"/>
    </xf>
    <xf numFmtId="0" fontId="10" fillId="0" borderId="58" xfId="4" applyFont="1" applyBorder="1" applyAlignment="1">
      <alignment horizontal="left" vertical="center"/>
    </xf>
    <xf numFmtId="0" fontId="10" fillId="0" borderId="64" xfId="4" applyFont="1" applyBorder="1" applyAlignment="1">
      <alignment horizontal="left" vertical="center"/>
    </xf>
    <xf numFmtId="0" fontId="10" fillId="0" borderId="31" xfId="4" applyFont="1" applyBorder="1" applyAlignment="1">
      <alignment horizontal="center" vertical="center"/>
    </xf>
    <xf numFmtId="0" fontId="10" fillId="0" borderId="26" xfId="4" applyFont="1" applyBorder="1" applyAlignment="1">
      <alignment horizontal="left" vertical="center"/>
    </xf>
    <xf numFmtId="0" fontId="10" fillId="0" borderId="20" xfId="4" applyFont="1" applyBorder="1" applyAlignment="1">
      <alignment horizontal="left" vertical="center"/>
    </xf>
    <xf numFmtId="0" fontId="11" fillId="0" borderId="54" xfId="0" applyFont="1" applyBorder="1">
      <alignment vertical="center"/>
    </xf>
    <xf numFmtId="0" fontId="11" fillId="0" borderId="70" xfId="0" applyFont="1" applyBorder="1">
      <alignment vertical="center"/>
    </xf>
    <xf numFmtId="0" fontId="10" fillId="0" borderId="45" xfId="4" applyFont="1" applyBorder="1" applyAlignment="1">
      <alignment horizontal="center" vertical="center"/>
    </xf>
    <xf numFmtId="0" fontId="10" fillId="0" borderId="63" xfId="4" applyFont="1" applyBorder="1" applyAlignment="1">
      <alignment horizontal="left" vertical="center"/>
    </xf>
    <xf numFmtId="0" fontId="10" fillId="0" borderId="77" xfId="4" applyFont="1" applyBorder="1" applyAlignment="1">
      <alignment horizontal="left" vertical="center"/>
    </xf>
    <xf numFmtId="0" fontId="10" fillId="0" borderId="12" xfId="4" applyFont="1" applyBorder="1" applyAlignment="1">
      <alignment horizontal="left" vertical="center"/>
    </xf>
    <xf numFmtId="0" fontId="10" fillId="0" borderId="23" xfId="4" applyFont="1" applyBorder="1" applyAlignment="1">
      <alignment horizontal="left" vertical="center"/>
    </xf>
    <xf numFmtId="3" fontId="10" fillId="2" borderId="25" xfId="5" applyNumberFormat="1" applyFont="1" applyFill="1" applyBorder="1" applyAlignment="1">
      <alignment horizontal="left" vertical="center"/>
    </xf>
    <xf numFmtId="3" fontId="10" fillId="2" borderId="0" xfId="5" applyNumberFormat="1" applyFont="1" applyFill="1" applyAlignment="1">
      <alignment horizontal="left" vertical="center"/>
    </xf>
    <xf numFmtId="3" fontId="10" fillId="2" borderId="41" xfId="5" applyNumberFormat="1" applyFont="1" applyFill="1" applyBorder="1" applyAlignment="1">
      <alignment horizontal="left" vertical="center"/>
    </xf>
    <xf numFmtId="3" fontId="10" fillId="0" borderId="8" xfId="4" applyNumberFormat="1" applyFont="1" applyBorder="1">
      <alignment vertical="center"/>
    </xf>
    <xf numFmtId="0" fontId="10" fillId="0" borderId="23" xfId="4" applyFont="1" applyBorder="1" applyAlignment="1">
      <alignment horizontal="center" vertical="center" wrapText="1"/>
    </xf>
    <xf numFmtId="0" fontId="10" fillId="0" borderId="20" xfId="4" applyFont="1" applyBorder="1" applyAlignment="1">
      <alignment horizontal="center" vertical="center"/>
    </xf>
    <xf numFmtId="3" fontId="10" fillId="0" borderId="7" xfId="4" applyNumberFormat="1" applyFont="1" applyBorder="1" applyAlignment="1">
      <alignment horizontal="left" vertical="center"/>
    </xf>
    <xf numFmtId="3" fontId="10" fillId="0" borderId="24" xfId="4" applyNumberFormat="1" applyFont="1" applyBorder="1" applyAlignment="1">
      <alignment horizontal="left" vertical="center"/>
    </xf>
    <xf numFmtId="3" fontId="10" fillId="0" borderId="39" xfId="4" applyNumberFormat="1" applyFont="1" applyBorder="1" applyAlignment="1">
      <alignment horizontal="left" vertical="center"/>
    </xf>
    <xf numFmtId="0" fontId="10" fillId="0" borderId="60" xfId="4" applyFont="1" applyBorder="1" applyAlignment="1">
      <alignment horizontal="center" vertical="center"/>
    </xf>
    <xf numFmtId="0" fontId="10" fillId="0" borderId="32" xfId="4" applyFont="1" applyBorder="1" applyAlignment="1">
      <alignment horizontal="center" vertical="center"/>
    </xf>
    <xf numFmtId="0" fontId="10" fillId="0" borderId="21" xfId="4" applyFont="1" applyBorder="1" applyAlignment="1">
      <alignment horizontal="center" vertical="center"/>
    </xf>
    <xf numFmtId="0" fontId="9" fillId="0" borderId="0" xfId="4" applyFont="1" applyAlignment="1">
      <alignment horizontal="left" vertical="center"/>
    </xf>
    <xf numFmtId="0" fontId="9" fillId="0" borderId="72" xfId="4" applyFont="1" applyBorder="1" applyAlignment="1">
      <alignment horizontal="center" vertical="center"/>
    </xf>
    <xf numFmtId="0" fontId="9" fillId="0" borderId="54" xfId="4" applyFont="1" applyBorder="1" applyAlignment="1">
      <alignment horizontal="center" vertical="center"/>
    </xf>
    <xf numFmtId="0" fontId="9" fillId="0" borderId="61" xfId="4" applyFont="1" applyBorder="1" applyAlignment="1">
      <alignment horizontal="center" vertical="center"/>
    </xf>
    <xf numFmtId="0" fontId="9" fillId="0" borderId="62" xfId="4" applyFont="1" applyBorder="1" applyAlignment="1">
      <alignment horizontal="center" vertical="center"/>
    </xf>
    <xf numFmtId="0" fontId="10" fillId="0" borderId="23" xfId="4" applyFont="1" applyBorder="1" applyAlignment="1">
      <alignment horizontal="center" vertical="center"/>
    </xf>
    <xf numFmtId="0" fontId="10" fillId="0" borderId="33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3" fontId="10" fillId="0" borderId="39" xfId="4" applyNumberFormat="1" applyFont="1" applyBorder="1">
      <alignment vertical="center"/>
    </xf>
    <xf numFmtId="0" fontId="10" fillId="0" borderId="59" xfId="4" applyFont="1" applyBorder="1" applyAlignment="1">
      <alignment horizontal="center" vertical="center"/>
    </xf>
    <xf numFmtId="0" fontId="10" fillId="0" borderId="55" xfId="4" applyFont="1" applyBorder="1" applyAlignment="1">
      <alignment horizontal="center" vertical="center"/>
    </xf>
    <xf numFmtId="3" fontId="10" fillId="2" borderId="46" xfId="5" applyNumberFormat="1" applyFont="1" applyFill="1" applyBorder="1" applyAlignment="1">
      <alignment horizontal="left" vertical="center"/>
    </xf>
    <xf numFmtId="3" fontId="10" fillId="2" borderId="47" xfId="5" applyNumberFormat="1" applyFont="1" applyFill="1" applyBorder="1" applyAlignment="1">
      <alignment horizontal="left" vertical="center"/>
    </xf>
    <xf numFmtId="3" fontId="10" fillId="2" borderId="48" xfId="5" applyNumberFormat="1" applyFont="1" applyFill="1" applyBorder="1" applyAlignment="1">
      <alignment horizontal="left" vertical="center"/>
    </xf>
    <xf numFmtId="0" fontId="10" fillId="0" borderId="73" xfId="4" applyFont="1" applyBorder="1" applyAlignment="1">
      <alignment horizontal="center" vertical="center"/>
    </xf>
    <xf numFmtId="0" fontId="10" fillId="0" borderId="38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0" fillId="0" borderId="7" xfId="4" applyFont="1" applyBorder="1" applyAlignment="1">
      <alignment horizontal="left" vertical="center" wrapText="1"/>
    </xf>
    <xf numFmtId="0" fontId="10" fillId="0" borderId="24" xfId="4" applyFont="1" applyBorder="1" applyAlignment="1">
      <alignment horizontal="left" vertical="center" wrapText="1"/>
    </xf>
    <xf numFmtId="0" fontId="10" fillId="0" borderId="39" xfId="4" applyFont="1" applyBorder="1" applyAlignment="1">
      <alignment horizontal="left" vertical="center" wrapText="1"/>
    </xf>
    <xf numFmtId="0" fontId="10" fillId="0" borderId="60" xfId="4" applyFont="1" applyBorder="1" applyAlignment="1">
      <alignment horizontal="center" vertical="center" wrapText="1"/>
    </xf>
    <xf numFmtId="0" fontId="10" fillId="0" borderId="31" xfId="4" applyFont="1" applyBorder="1" applyAlignment="1">
      <alignment horizontal="center" vertical="center" wrapText="1"/>
    </xf>
    <xf numFmtId="3" fontId="10" fillId="0" borderId="12" xfId="4" applyNumberFormat="1" applyFont="1" applyBorder="1" applyAlignment="1">
      <alignment horizontal="left" vertical="center" wrapText="1"/>
    </xf>
    <xf numFmtId="3" fontId="10" fillId="0" borderId="34" xfId="4" applyNumberFormat="1" applyFont="1" applyBorder="1" applyAlignment="1">
      <alignment horizontal="left" vertical="center"/>
    </xf>
    <xf numFmtId="3" fontId="10" fillId="0" borderId="44" xfId="4" applyNumberFormat="1" applyFont="1" applyBorder="1" applyAlignment="1">
      <alignment horizontal="left" vertical="center"/>
    </xf>
    <xf numFmtId="3" fontId="10" fillId="0" borderId="46" xfId="4" applyNumberFormat="1" applyFont="1" applyBorder="1" applyAlignment="1">
      <alignment horizontal="left" vertical="center" wrapText="1"/>
    </xf>
    <xf numFmtId="3" fontId="10" fillId="0" borderId="47" xfId="4" applyNumberFormat="1" applyFont="1" applyBorder="1" applyAlignment="1">
      <alignment horizontal="left" vertical="center"/>
    </xf>
    <xf numFmtId="3" fontId="10" fillId="0" borderId="48" xfId="4" applyNumberFormat="1" applyFont="1" applyBorder="1" applyAlignment="1">
      <alignment horizontal="left" vertical="center"/>
    </xf>
  </cellXfs>
  <cellStyles count="8">
    <cellStyle name="백분율" xfId="1" builtinId="5"/>
    <cellStyle name="백분율 2" xfId="6" xr:uid="{00000000-0005-0000-0000-000001000000}"/>
    <cellStyle name="쉼표 [0]" xfId="2" builtinId="6"/>
    <cellStyle name="쉼표 [0] 2" xfId="5" xr:uid="{00000000-0005-0000-0000-000003000000}"/>
    <cellStyle name="표준" xfId="0" builtinId="0"/>
    <cellStyle name="표준 2" xfId="3" xr:uid="{00000000-0005-0000-0000-000005000000}"/>
    <cellStyle name="표준 2 2" xfId="7" xr:uid="{00000000-0005-0000-0000-000006000000}"/>
    <cellStyle name="표준 3" xfId="4" xr:uid="{00000000-0005-0000-0000-000007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4"/>
  <sheetViews>
    <sheetView tabSelected="1" view="pageBreakPreview" zoomScale="85" zoomScaleNormal="100" zoomScaleSheetLayoutView="85" workbookViewId="0">
      <selection activeCell="A3" sqref="A3"/>
    </sheetView>
  </sheetViews>
  <sheetFormatPr defaultColWidth="8.77734375" defaultRowHeight="13.5" x14ac:dyDescent="0.15"/>
  <cols>
    <col min="1" max="1" width="121.44140625" customWidth="1"/>
  </cols>
  <sheetData>
    <row r="1" spans="1:1" ht="84.75" customHeight="1" x14ac:dyDescent="0.15">
      <c r="A1" s="1"/>
    </row>
    <row r="2" spans="1:1" ht="30" customHeight="1" x14ac:dyDescent="0.15">
      <c r="A2" s="95" t="s">
        <v>184</v>
      </c>
    </row>
    <row r="3" spans="1:1" ht="30" customHeight="1" x14ac:dyDescent="0.4">
      <c r="A3" s="189" t="s">
        <v>240</v>
      </c>
    </row>
    <row r="4" spans="1:1" ht="30" customHeight="1" x14ac:dyDescent="0.15">
      <c r="A4" s="2"/>
    </row>
    <row r="5" spans="1:1" ht="30" customHeight="1" x14ac:dyDescent="0.15">
      <c r="A5" s="2"/>
    </row>
    <row r="6" spans="1:1" ht="231" customHeight="1" x14ac:dyDescent="0.3">
      <c r="A6" s="13">
        <v>2023.02</v>
      </c>
    </row>
    <row r="7" spans="1:1" ht="217.5" customHeight="1" x14ac:dyDescent="0.15">
      <c r="A7" s="2"/>
    </row>
    <row r="8" spans="1:1" ht="30" customHeight="1" x14ac:dyDescent="0.15">
      <c r="A8" s="3" t="s">
        <v>134</v>
      </c>
    </row>
    <row r="9" spans="1:1" ht="30" customHeight="1" x14ac:dyDescent="0.15">
      <c r="A9" s="4" t="s">
        <v>172</v>
      </c>
    </row>
    <row r="10" spans="1:1" x14ac:dyDescent="0.15">
      <c r="A10" s="5"/>
    </row>
    <row r="11" spans="1:1" x14ac:dyDescent="0.15">
      <c r="A11" s="5"/>
    </row>
    <row r="12" spans="1:1" x14ac:dyDescent="0.15">
      <c r="A12" s="5"/>
    </row>
    <row r="13" spans="1:1" x14ac:dyDescent="0.15">
      <c r="A13" s="5"/>
    </row>
    <row r="14" spans="1:1" x14ac:dyDescent="0.15">
      <c r="A14" s="5"/>
    </row>
  </sheetData>
  <phoneticPr fontId="19" type="noConversion"/>
  <printOptions horizontalCentered="1"/>
  <pageMargins left="0.78694444894790649" right="0.78694444894790649" top="0.78694444894790649" bottom="0.78694444894790649" header="0.51138889789581299" footer="0.51138889789581299"/>
  <pageSetup paperSize="9" scale="96" firstPageNumber="183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22"/>
  <sheetViews>
    <sheetView view="pageBreakPreview" zoomScaleNormal="100" zoomScaleSheetLayoutView="100" workbookViewId="0">
      <selection activeCell="A3" sqref="A3"/>
    </sheetView>
  </sheetViews>
  <sheetFormatPr defaultColWidth="8.77734375" defaultRowHeight="13.5" x14ac:dyDescent="0.15"/>
  <cols>
    <col min="1" max="1" width="75.5546875" customWidth="1"/>
  </cols>
  <sheetData>
    <row r="1" spans="1:1" ht="30" customHeight="1" x14ac:dyDescent="0.3">
      <c r="A1" s="92" t="s">
        <v>15</v>
      </c>
    </row>
    <row r="2" spans="1:1" ht="30" customHeight="1" x14ac:dyDescent="0.15">
      <c r="A2" s="93"/>
    </row>
    <row r="3" spans="1:1" ht="30" customHeight="1" x14ac:dyDescent="0.15">
      <c r="A3" s="94" t="s">
        <v>241</v>
      </c>
    </row>
    <row r="4" spans="1:1" ht="30" customHeight="1" x14ac:dyDescent="0.15">
      <c r="A4" s="94"/>
    </row>
    <row r="5" spans="1:1" ht="30" customHeight="1" x14ac:dyDescent="0.15">
      <c r="A5" s="94" t="s">
        <v>236</v>
      </c>
    </row>
    <row r="6" spans="1:1" ht="30" customHeight="1" x14ac:dyDescent="0.15">
      <c r="A6" s="94"/>
    </row>
    <row r="7" spans="1:1" ht="30" customHeight="1" x14ac:dyDescent="0.15">
      <c r="A7" s="94" t="s">
        <v>0</v>
      </c>
    </row>
    <row r="8" spans="1:1" ht="30" customHeight="1" x14ac:dyDescent="0.15">
      <c r="A8" s="94"/>
    </row>
    <row r="9" spans="1:1" ht="30" customHeight="1" x14ac:dyDescent="0.15">
      <c r="A9" s="94" t="s">
        <v>3</v>
      </c>
    </row>
    <row r="10" spans="1:1" ht="30" customHeight="1" x14ac:dyDescent="0.15">
      <c r="A10" s="94" t="s">
        <v>93</v>
      </c>
    </row>
    <row r="11" spans="1:1" ht="30" customHeight="1" x14ac:dyDescent="0.15">
      <c r="A11" s="94"/>
    </row>
    <row r="12" spans="1:1" ht="30" customHeight="1" x14ac:dyDescent="0.15">
      <c r="A12" s="94" t="s">
        <v>1</v>
      </c>
    </row>
    <row r="13" spans="1:1" ht="30" customHeight="1" x14ac:dyDescent="0.15">
      <c r="A13" s="94" t="s">
        <v>127</v>
      </c>
    </row>
    <row r="14" spans="1:1" ht="30" customHeight="1" x14ac:dyDescent="0.15">
      <c r="A14" s="94"/>
    </row>
    <row r="15" spans="1:1" ht="30" customHeight="1" x14ac:dyDescent="0.15">
      <c r="A15" s="94" t="s">
        <v>2</v>
      </c>
    </row>
    <row r="16" spans="1:1" ht="30" customHeight="1" x14ac:dyDescent="0.15">
      <c r="A16" s="94" t="s">
        <v>35</v>
      </c>
    </row>
    <row r="17" spans="1:1" ht="30" customHeight="1" x14ac:dyDescent="0.15">
      <c r="A17" s="94"/>
    </row>
    <row r="18" spans="1:1" ht="30" customHeight="1" x14ac:dyDescent="0.15">
      <c r="A18" s="94" t="s">
        <v>4</v>
      </c>
    </row>
    <row r="19" spans="1:1" ht="30" customHeight="1" x14ac:dyDescent="0.15">
      <c r="A19" s="93" t="s">
        <v>128</v>
      </c>
    </row>
    <row r="20" spans="1:1" ht="14.25" x14ac:dyDescent="0.15">
      <c r="A20" s="39"/>
    </row>
    <row r="21" spans="1:1" ht="14.25" x14ac:dyDescent="0.15">
      <c r="A21" s="40"/>
    </row>
    <row r="22" spans="1:1" ht="20.25" x14ac:dyDescent="0.25">
      <c r="A22" s="41"/>
    </row>
  </sheetData>
  <phoneticPr fontId="19" type="noConversion"/>
  <printOptions horizontalCentered="1"/>
  <pageMargins left="0.78694444894790649" right="0.78694444894790649" top="0.98416668176651001" bottom="0.98416668176651001" header="0.51138889789581299" footer="0.51138889789581299"/>
  <pageSetup paperSize="9" firstPageNumber="183" fitToWidth="0" fitToHeight="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26"/>
  <sheetViews>
    <sheetView view="pageBreakPreview" topLeftCell="A13" zoomScaleNormal="100" zoomScaleSheetLayoutView="100" workbookViewId="0">
      <selection activeCell="G8" sqref="G8"/>
    </sheetView>
  </sheetViews>
  <sheetFormatPr defaultColWidth="8.77734375" defaultRowHeight="13.5" x14ac:dyDescent="0.15"/>
  <cols>
    <col min="1" max="1" width="14.88671875" style="12" customWidth="1"/>
    <col min="2" max="2" width="15.88671875" style="12" customWidth="1"/>
    <col min="3" max="5" width="13.77734375" style="12" customWidth="1"/>
    <col min="7" max="7" width="10.5546875" bestFit="1" customWidth="1"/>
  </cols>
  <sheetData>
    <row r="1" spans="1:7" ht="39" customHeight="1" x14ac:dyDescent="0.15">
      <c r="A1" s="305" t="s">
        <v>211</v>
      </c>
      <c r="B1" s="305"/>
      <c r="C1" s="305"/>
      <c r="D1" s="305"/>
      <c r="E1" s="305"/>
    </row>
    <row r="2" spans="1:7" ht="18" customHeight="1" x14ac:dyDescent="0.15">
      <c r="A2" s="6"/>
      <c r="B2" s="6"/>
      <c r="C2" s="6"/>
      <c r="D2" s="6"/>
      <c r="E2" s="38" t="s">
        <v>14</v>
      </c>
    </row>
    <row r="3" spans="1:7" ht="21" customHeight="1" x14ac:dyDescent="0.15">
      <c r="A3" s="306" t="s">
        <v>141</v>
      </c>
      <c r="B3" s="307"/>
      <c r="C3" s="307"/>
      <c r="D3" s="307"/>
      <c r="E3" s="308"/>
    </row>
    <row r="4" spans="1:7" ht="25.15" customHeight="1" x14ac:dyDescent="0.15">
      <c r="A4" s="14" t="s">
        <v>55</v>
      </c>
      <c r="B4" s="15" t="s">
        <v>63</v>
      </c>
      <c r="C4" s="204" t="s">
        <v>235</v>
      </c>
      <c r="D4" s="204" t="s">
        <v>230</v>
      </c>
      <c r="E4" s="16" t="s">
        <v>8</v>
      </c>
    </row>
    <row r="5" spans="1:7" ht="21" customHeight="1" x14ac:dyDescent="0.15">
      <c r="A5" s="309" t="s">
        <v>16</v>
      </c>
      <c r="B5" s="310"/>
      <c r="C5" s="17">
        <f>SUM(C6:C11)</f>
        <v>428910000</v>
      </c>
      <c r="D5" s="17">
        <f>SUM(D6:D11)</f>
        <v>440223000</v>
      </c>
      <c r="E5" s="18">
        <f>D5-C5</f>
        <v>11313000</v>
      </c>
      <c r="G5" s="181"/>
    </row>
    <row r="6" spans="1:7" ht="21" customHeight="1" x14ac:dyDescent="0.15">
      <c r="A6" s="225" t="s">
        <v>80</v>
      </c>
      <c r="B6" s="19" t="s">
        <v>80</v>
      </c>
      <c r="C6" s="20">
        <f>세입예산!D6</f>
        <v>58368240</v>
      </c>
      <c r="D6" s="20">
        <f>세입예산!E6</f>
        <v>58368240</v>
      </c>
      <c r="E6" s="21">
        <f t="shared" ref="E6:E11" si="0">D6-C6</f>
        <v>0</v>
      </c>
    </row>
    <row r="7" spans="1:7" ht="21" customHeight="1" x14ac:dyDescent="0.15">
      <c r="A7" s="22" t="s">
        <v>139</v>
      </c>
      <c r="B7" s="19" t="s">
        <v>186</v>
      </c>
      <c r="C7" s="20">
        <f>세입예산!D15</f>
        <v>345542640</v>
      </c>
      <c r="D7" s="20">
        <f>세입예산!E15</f>
        <v>343140000</v>
      </c>
      <c r="E7" s="21">
        <f t="shared" si="0"/>
        <v>-2402640</v>
      </c>
    </row>
    <row r="8" spans="1:7" ht="21" customHeight="1" x14ac:dyDescent="0.15">
      <c r="A8" s="23" t="s">
        <v>140</v>
      </c>
      <c r="B8" s="24" t="s">
        <v>185</v>
      </c>
      <c r="C8" s="25">
        <f>세입예산!D24</f>
        <v>1000000</v>
      </c>
      <c r="D8" s="25">
        <f>세입예산!E23</f>
        <v>1000000</v>
      </c>
      <c r="E8" s="26">
        <f t="shared" si="0"/>
        <v>0</v>
      </c>
    </row>
    <row r="9" spans="1:7" ht="21" customHeight="1" x14ac:dyDescent="0.15">
      <c r="A9" s="23" t="s">
        <v>135</v>
      </c>
      <c r="B9" s="24" t="s">
        <v>135</v>
      </c>
      <c r="C9" s="25">
        <f>세입예산!D28</f>
        <v>0</v>
      </c>
      <c r="D9" s="25">
        <f>세입예산!E28</f>
        <v>0</v>
      </c>
      <c r="E9" s="26">
        <f>D9-C9</f>
        <v>0</v>
      </c>
    </row>
    <row r="10" spans="1:7" ht="21" customHeight="1" x14ac:dyDescent="0.15">
      <c r="A10" s="22" t="s">
        <v>124</v>
      </c>
      <c r="B10" s="42" t="s">
        <v>124</v>
      </c>
      <c r="C10" s="25">
        <f>세입예산!D31</f>
        <v>16031397</v>
      </c>
      <c r="D10" s="25">
        <f>세입예산!E31</f>
        <v>30647913</v>
      </c>
      <c r="E10" s="26">
        <f t="shared" si="0"/>
        <v>14616516</v>
      </c>
    </row>
    <row r="11" spans="1:7" ht="21" customHeight="1" x14ac:dyDescent="0.15">
      <c r="A11" s="27" t="s">
        <v>123</v>
      </c>
      <c r="B11" s="28" t="s">
        <v>123</v>
      </c>
      <c r="C11" s="29">
        <f>세입예산!D36</f>
        <v>7967723</v>
      </c>
      <c r="D11" s="29">
        <f>세입예산!E36</f>
        <v>7066847</v>
      </c>
      <c r="E11" s="30">
        <f t="shared" si="0"/>
        <v>-900876</v>
      </c>
    </row>
    <row r="12" spans="1:7" ht="21" customHeight="1" x14ac:dyDescent="0.15">
      <c r="A12" s="7"/>
      <c r="B12" s="7"/>
      <c r="C12" s="8"/>
      <c r="D12" s="9"/>
      <c r="E12" s="10"/>
    </row>
    <row r="13" spans="1:7" ht="21" customHeight="1" x14ac:dyDescent="0.15">
      <c r="A13" s="11"/>
      <c r="B13" s="11"/>
      <c r="C13" s="11"/>
      <c r="D13" s="11"/>
      <c r="E13" s="37" t="s">
        <v>14</v>
      </c>
    </row>
    <row r="14" spans="1:7" ht="21" customHeight="1" x14ac:dyDescent="0.15">
      <c r="A14" s="306" t="s">
        <v>142</v>
      </c>
      <c r="B14" s="307"/>
      <c r="C14" s="307"/>
      <c r="D14" s="307"/>
      <c r="E14" s="308"/>
    </row>
    <row r="15" spans="1:7" ht="25.15" customHeight="1" x14ac:dyDescent="0.15">
      <c r="A15" s="14" t="s">
        <v>55</v>
      </c>
      <c r="B15" s="15" t="s">
        <v>63</v>
      </c>
      <c r="C15" s="204" t="s">
        <v>235</v>
      </c>
      <c r="D15" s="204" t="s">
        <v>230</v>
      </c>
      <c r="E15" s="16" t="s">
        <v>8</v>
      </c>
    </row>
    <row r="16" spans="1:7" ht="21" customHeight="1" x14ac:dyDescent="0.15">
      <c r="A16" s="31" t="s">
        <v>9</v>
      </c>
      <c r="B16" s="32"/>
      <c r="C16" s="17">
        <f>SUM(C17:C26)</f>
        <v>428910000</v>
      </c>
      <c r="D16" s="17">
        <f>SUM(D17:D26)</f>
        <v>440223000</v>
      </c>
      <c r="E16" s="35">
        <f>SUM(E17:E25)</f>
        <v>5313000</v>
      </c>
      <c r="G16" s="181"/>
    </row>
    <row r="17" spans="1:7" ht="21" customHeight="1" x14ac:dyDescent="0.15">
      <c r="A17" s="302" t="s">
        <v>173</v>
      </c>
      <c r="B17" s="33" t="s">
        <v>18</v>
      </c>
      <c r="C17" s="34">
        <f>세출예산!D7</f>
        <v>298181550</v>
      </c>
      <c r="D17" s="34">
        <f>세출예산!E7</f>
        <v>303495400</v>
      </c>
      <c r="E17" s="182">
        <f>D17-C17</f>
        <v>5313850</v>
      </c>
    </row>
    <row r="18" spans="1:7" ht="21" customHeight="1" x14ac:dyDescent="0.15">
      <c r="A18" s="303"/>
      <c r="B18" s="33" t="s">
        <v>91</v>
      </c>
      <c r="C18" s="34">
        <f>세출예산!D55</f>
        <v>3200000</v>
      </c>
      <c r="D18" s="34">
        <f>세출예산!E55</f>
        <v>3200000</v>
      </c>
      <c r="E18" s="182">
        <f t="shared" ref="E18:E19" si="1">D18-C18</f>
        <v>0</v>
      </c>
      <c r="G18" s="181"/>
    </row>
    <row r="19" spans="1:7" ht="21" customHeight="1" x14ac:dyDescent="0.15">
      <c r="A19" s="304"/>
      <c r="B19" s="33" t="s">
        <v>32</v>
      </c>
      <c r="C19" s="34">
        <f>세출예산!D59</f>
        <v>56034000</v>
      </c>
      <c r="D19" s="34">
        <f>세출예산!E59</f>
        <v>56034000</v>
      </c>
      <c r="E19" s="182">
        <f t="shared" si="1"/>
        <v>0</v>
      </c>
    </row>
    <row r="20" spans="1:7" ht="21" customHeight="1" x14ac:dyDescent="0.15">
      <c r="A20" s="22" t="s">
        <v>174</v>
      </c>
      <c r="B20" s="19" t="s">
        <v>20</v>
      </c>
      <c r="C20" s="36">
        <f>세출예산!D84</f>
        <v>8100000</v>
      </c>
      <c r="D20" s="36">
        <f>세출예산!E84</f>
        <v>8100000</v>
      </c>
      <c r="E20" s="183">
        <f>D20-C20</f>
        <v>0</v>
      </c>
    </row>
    <row r="21" spans="1:7" ht="21" customHeight="1" x14ac:dyDescent="0.15">
      <c r="A21" s="302" t="s">
        <v>175</v>
      </c>
      <c r="B21" s="19" t="s">
        <v>32</v>
      </c>
      <c r="C21" s="36">
        <f>세출예산!D90</f>
        <v>37200000</v>
      </c>
      <c r="D21" s="36">
        <f>세출예산!E90</f>
        <v>37200000</v>
      </c>
      <c r="E21" s="183">
        <f t="shared" ref="E21:E25" si="2">D21-C21</f>
        <v>0</v>
      </c>
    </row>
    <row r="22" spans="1:7" ht="21" customHeight="1" x14ac:dyDescent="0.15">
      <c r="A22" s="303"/>
      <c r="B22" s="19" t="s">
        <v>83</v>
      </c>
      <c r="C22" s="36">
        <f>세출예산!D95</f>
        <v>15020000</v>
      </c>
      <c r="D22" s="36">
        <f>세출예산!E95</f>
        <v>15020000</v>
      </c>
      <c r="E22" s="183">
        <f t="shared" si="2"/>
        <v>0</v>
      </c>
    </row>
    <row r="23" spans="1:7" ht="21" customHeight="1" x14ac:dyDescent="0.15">
      <c r="A23" s="226" t="s">
        <v>176</v>
      </c>
      <c r="B23" s="19" t="s">
        <v>153</v>
      </c>
      <c r="C23" s="36">
        <f>세출예산!D103</f>
        <v>3000000</v>
      </c>
      <c r="D23" s="36">
        <f>세출예산!E103</f>
        <v>3000000</v>
      </c>
      <c r="E23" s="183">
        <f t="shared" si="2"/>
        <v>0</v>
      </c>
    </row>
    <row r="24" spans="1:7" ht="24" customHeight="1" x14ac:dyDescent="0.15">
      <c r="A24" s="22" t="s">
        <v>177</v>
      </c>
      <c r="B24" s="19" t="s">
        <v>26</v>
      </c>
      <c r="C24" s="36">
        <f>세출예산!D104</f>
        <v>2300000</v>
      </c>
      <c r="D24" s="36">
        <f>세출예산!E104</f>
        <v>2300000</v>
      </c>
      <c r="E24" s="183">
        <f t="shared" si="2"/>
        <v>0</v>
      </c>
    </row>
    <row r="25" spans="1:7" ht="25.5" customHeight="1" x14ac:dyDescent="0.15">
      <c r="A25" s="22" t="s">
        <v>28</v>
      </c>
      <c r="B25" s="19" t="s">
        <v>12</v>
      </c>
      <c r="C25" s="36">
        <f>세출예산!D110</f>
        <v>1874450</v>
      </c>
      <c r="D25" s="36">
        <f>세출예산!E108</f>
        <v>1873600</v>
      </c>
      <c r="E25" s="183">
        <f t="shared" si="2"/>
        <v>-850</v>
      </c>
    </row>
    <row r="26" spans="1:7" ht="25.9" customHeight="1" x14ac:dyDescent="0.15">
      <c r="A26" s="231" t="s">
        <v>202</v>
      </c>
      <c r="B26" s="228" t="s">
        <v>203</v>
      </c>
      <c r="C26" s="229">
        <f>세출예산!D112</f>
        <v>4000000</v>
      </c>
      <c r="D26" s="229">
        <f>세출예산!E112</f>
        <v>10000000</v>
      </c>
      <c r="E26" s="230">
        <f t="shared" ref="E26" si="3">D26-C26</f>
        <v>6000000</v>
      </c>
    </row>
  </sheetData>
  <mergeCells count="6">
    <mergeCell ref="A17:A19"/>
    <mergeCell ref="A21:A22"/>
    <mergeCell ref="A1:E1"/>
    <mergeCell ref="A3:E3"/>
    <mergeCell ref="A5:B5"/>
    <mergeCell ref="A14:E14"/>
  </mergeCells>
  <phoneticPr fontId="19" type="noConversion"/>
  <printOptions horizontalCentered="1"/>
  <pageMargins left="0.78694444894790649" right="0.78694444894790649" top="0.98416668176651001" bottom="0.98416668176651001" header="0.51138889789581299" footer="0.51138889789581299"/>
  <pageSetup paperSize="9" firstPageNumber="185" orientation="portrait" useFirstPageNumber="1" r:id="rId1"/>
  <headerFooter>
    <oddFooter>&amp;R&amp;"굴림,보통"&amp;9참좋은무일복지센터(2023.02.13)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V44"/>
  <sheetViews>
    <sheetView view="pageBreakPreview" topLeftCell="A28" zoomScaleNormal="100" zoomScaleSheetLayoutView="100" workbookViewId="0">
      <selection activeCell="E38" sqref="E38:E43"/>
    </sheetView>
  </sheetViews>
  <sheetFormatPr defaultColWidth="8.88671875" defaultRowHeight="13.5" x14ac:dyDescent="0.15"/>
  <cols>
    <col min="1" max="2" width="7.77734375" style="43" customWidth="1"/>
    <col min="3" max="3" width="17.33203125" style="43" customWidth="1"/>
    <col min="4" max="4" width="11.109375" style="44" customWidth="1"/>
    <col min="5" max="5" width="11.6640625" style="43" customWidth="1"/>
    <col min="6" max="6" width="10.77734375" style="43" customWidth="1"/>
    <col min="7" max="7" width="9.77734375" style="106" customWidth="1"/>
    <col min="8" max="8" width="40.44140625" style="43" customWidth="1"/>
    <col min="9" max="9" width="8.88671875" style="43" customWidth="1"/>
    <col min="10" max="10" width="3.44140625" style="43" customWidth="1"/>
    <col min="11" max="11" width="3.109375" style="43" customWidth="1"/>
    <col min="12" max="12" width="3.44140625" style="43" customWidth="1"/>
    <col min="13" max="13" width="3.21875" style="43" customWidth="1"/>
    <col min="14" max="14" width="2.88671875" style="43" customWidth="1"/>
    <col min="15" max="15" width="3.109375" style="43" customWidth="1"/>
    <col min="16" max="16" width="4" style="43" customWidth="1"/>
    <col min="17" max="17" width="14" style="116" customWidth="1"/>
    <col min="18" max="18" width="8.88671875" style="43"/>
    <col min="19" max="19" width="12.33203125" style="43" customWidth="1"/>
    <col min="20" max="20" width="11.6640625" style="43" bestFit="1" customWidth="1"/>
    <col min="21" max="21" width="8.88671875" style="43"/>
    <col min="22" max="22" width="10.5546875" style="43" bestFit="1" customWidth="1"/>
    <col min="23" max="16384" width="8.88671875" style="43"/>
  </cols>
  <sheetData>
    <row r="1" spans="1:20" ht="20.100000000000001" customHeight="1" x14ac:dyDescent="0.15">
      <c r="A1" s="317" t="s">
        <v>187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</row>
    <row r="2" spans="1:20" ht="20.100000000000001" customHeight="1" x14ac:dyDescent="0.15">
      <c r="M2" s="330" t="s">
        <v>143</v>
      </c>
      <c r="N2" s="331"/>
      <c r="O2" s="331"/>
      <c r="P2" s="331"/>
      <c r="Q2" s="331"/>
    </row>
    <row r="3" spans="1:20" ht="18.95" customHeight="1" x14ac:dyDescent="0.15">
      <c r="A3" s="318" t="s">
        <v>61</v>
      </c>
      <c r="B3" s="319"/>
      <c r="C3" s="320"/>
      <c r="D3" s="321" t="s">
        <v>231</v>
      </c>
      <c r="E3" s="321" t="s">
        <v>232</v>
      </c>
      <c r="F3" s="323" t="s">
        <v>8</v>
      </c>
      <c r="G3" s="320"/>
      <c r="H3" s="324" t="s">
        <v>110</v>
      </c>
      <c r="I3" s="325"/>
      <c r="J3" s="325"/>
      <c r="K3" s="325"/>
      <c r="L3" s="325"/>
      <c r="M3" s="325"/>
      <c r="N3" s="325"/>
      <c r="O3" s="325"/>
      <c r="P3" s="325"/>
      <c r="Q3" s="326"/>
    </row>
    <row r="4" spans="1:20" ht="18.95" customHeight="1" x14ac:dyDescent="0.15">
      <c r="A4" s="53" t="s">
        <v>47</v>
      </c>
      <c r="B4" s="54" t="s">
        <v>65</v>
      </c>
      <c r="C4" s="54" t="s">
        <v>46</v>
      </c>
      <c r="D4" s="322"/>
      <c r="E4" s="322"/>
      <c r="F4" s="176" t="s">
        <v>48</v>
      </c>
      <c r="G4" s="107" t="s">
        <v>37</v>
      </c>
      <c r="H4" s="327"/>
      <c r="I4" s="328"/>
      <c r="J4" s="328"/>
      <c r="K4" s="328"/>
      <c r="L4" s="328"/>
      <c r="M4" s="328"/>
      <c r="N4" s="328"/>
      <c r="O4" s="328"/>
      <c r="P4" s="328"/>
      <c r="Q4" s="329"/>
    </row>
    <row r="5" spans="1:20" ht="18.95" customHeight="1" x14ac:dyDescent="0.15">
      <c r="A5" s="311" t="s">
        <v>56</v>
      </c>
      <c r="B5" s="312"/>
      <c r="C5" s="313"/>
      <c r="D5" s="56">
        <f>D6+D15+D23+D28+D31+D36</f>
        <v>428910000</v>
      </c>
      <c r="E5" s="57">
        <f>E6+E15+E23+E31+E36+E28</f>
        <v>440223000</v>
      </c>
      <c r="F5" s="57">
        <f>E5-D5</f>
        <v>11313000</v>
      </c>
      <c r="G5" s="108">
        <f>E5/D5*100</f>
        <v>102.63761628313632</v>
      </c>
      <c r="H5" s="58"/>
      <c r="I5" s="59"/>
      <c r="J5" s="59"/>
      <c r="K5" s="59"/>
      <c r="L5" s="59"/>
      <c r="M5" s="59"/>
      <c r="N5" s="59"/>
      <c r="O5" s="59"/>
      <c r="P5" s="99"/>
      <c r="Q5" s="117"/>
      <c r="T5" s="50">
        <f>E5-세출예산!E5</f>
        <v>0</v>
      </c>
    </row>
    <row r="6" spans="1:20" ht="18.95" customHeight="1" x14ac:dyDescent="0.15">
      <c r="A6" s="314" t="s">
        <v>133</v>
      </c>
      <c r="B6" s="315"/>
      <c r="C6" s="316"/>
      <c r="D6" s="60">
        <f>D7</f>
        <v>58368240</v>
      </c>
      <c r="E6" s="61">
        <f>E7</f>
        <v>58368240</v>
      </c>
      <c r="F6" s="61">
        <f>E6-D6</f>
        <v>0</v>
      </c>
      <c r="G6" s="108">
        <f t="shared" ref="G6:G43" si="0">E6/D6*100</f>
        <v>100</v>
      </c>
      <c r="H6" s="63"/>
      <c r="I6" s="64"/>
      <c r="J6" s="336" t="s">
        <v>5</v>
      </c>
      <c r="K6" s="336"/>
      <c r="L6" s="336"/>
      <c r="M6" s="336"/>
      <c r="N6" s="336"/>
      <c r="O6" s="336"/>
      <c r="P6" s="336"/>
      <c r="Q6" s="115"/>
      <c r="S6" s="50"/>
    </row>
    <row r="7" spans="1:20" ht="18.95" customHeight="1" x14ac:dyDescent="0.15">
      <c r="A7" s="161"/>
      <c r="B7" s="332" t="s">
        <v>133</v>
      </c>
      <c r="C7" s="316"/>
      <c r="D7" s="62">
        <f>SUM(D8,D12,D14)</f>
        <v>58368240</v>
      </c>
      <c r="E7" s="62">
        <f>SUM(E8,E12,E14)</f>
        <v>58368240</v>
      </c>
      <c r="F7" s="62">
        <f t="shared" ref="F7:F12" si="1">E7-D7</f>
        <v>0</v>
      </c>
      <c r="G7" s="110">
        <f t="shared" si="0"/>
        <v>100</v>
      </c>
      <c r="H7" s="63"/>
      <c r="I7" s="64"/>
      <c r="J7" s="64"/>
      <c r="K7" s="64"/>
      <c r="L7" s="64"/>
      <c r="M7" s="64"/>
      <c r="N7" s="64"/>
      <c r="O7" s="64"/>
      <c r="P7" s="100"/>
      <c r="Q7" s="115"/>
      <c r="T7" s="50"/>
    </row>
    <row r="8" spans="1:20" ht="18.95" customHeight="1" x14ac:dyDescent="0.15">
      <c r="A8" s="161"/>
      <c r="B8" s="98"/>
      <c r="C8" s="80" t="s">
        <v>76</v>
      </c>
      <c r="D8" s="87">
        <v>38088240</v>
      </c>
      <c r="E8" s="81">
        <f>Q8</f>
        <v>38088240</v>
      </c>
      <c r="F8" s="78">
        <f t="shared" si="1"/>
        <v>0</v>
      </c>
      <c r="G8" s="236">
        <f t="shared" si="0"/>
        <v>100</v>
      </c>
      <c r="H8" s="79" t="s">
        <v>76</v>
      </c>
      <c r="I8" s="82"/>
      <c r="J8" s="82"/>
      <c r="K8" s="82"/>
      <c r="L8" s="82"/>
      <c r="M8" s="82"/>
      <c r="N8" s="82"/>
      <c r="O8" s="82"/>
      <c r="P8" s="101"/>
      <c r="Q8" s="118">
        <f>SUM(Q9:Q11)</f>
        <v>38088240</v>
      </c>
    </row>
    <row r="9" spans="1:20" ht="18.95" customHeight="1" x14ac:dyDescent="0.15">
      <c r="A9" s="161"/>
      <c r="B9" s="98"/>
      <c r="C9" s="97"/>
      <c r="D9" s="88"/>
      <c r="F9" s="86"/>
      <c r="G9" s="112"/>
      <c r="H9" s="47" t="s">
        <v>22</v>
      </c>
      <c r="I9" s="237">
        <v>195930</v>
      </c>
      <c r="J9" s="237" t="s">
        <v>41</v>
      </c>
      <c r="K9" s="237" t="s">
        <v>45</v>
      </c>
      <c r="L9" s="237">
        <v>12</v>
      </c>
      <c r="M9" s="237" t="s">
        <v>64</v>
      </c>
      <c r="N9" s="237" t="s">
        <v>51</v>
      </c>
      <c r="O9" s="237">
        <v>12</v>
      </c>
      <c r="P9" s="238" t="s">
        <v>67</v>
      </c>
      <c r="Q9" s="119">
        <f t="shared" ref="Q9:Q14" si="2">I9*L9*O9</f>
        <v>28213920</v>
      </c>
      <c r="R9" s="43">
        <f>1306200*15%</f>
        <v>195930</v>
      </c>
      <c r="S9" s="50"/>
    </row>
    <row r="10" spans="1:20" ht="18.95" customHeight="1" x14ac:dyDescent="0.15">
      <c r="A10" s="161"/>
      <c r="B10" s="98"/>
      <c r="C10" s="97"/>
      <c r="D10" s="88"/>
      <c r="F10" s="86"/>
      <c r="G10" s="112"/>
      <c r="H10" s="47" t="s">
        <v>30</v>
      </c>
      <c r="I10" s="237">
        <v>117550</v>
      </c>
      <c r="J10" s="237" t="s">
        <v>41</v>
      </c>
      <c r="K10" s="237" t="s">
        <v>45</v>
      </c>
      <c r="L10" s="237">
        <v>5</v>
      </c>
      <c r="M10" s="237" t="s">
        <v>64</v>
      </c>
      <c r="N10" s="237" t="s">
        <v>51</v>
      </c>
      <c r="O10" s="237">
        <v>12</v>
      </c>
      <c r="P10" s="238" t="s">
        <v>67</v>
      </c>
      <c r="Q10" s="119">
        <f t="shared" si="2"/>
        <v>7053000</v>
      </c>
      <c r="R10" s="43">
        <f>1306200*9%</f>
        <v>117558</v>
      </c>
      <c r="S10" s="50">
        <f>L9+L10+L11</f>
        <v>20</v>
      </c>
    </row>
    <row r="11" spans="1:20" ht="18.95" customHeight="1" x14ac:dyDescent="0.15">
      <c r="A11" s="161"/>
      <c r="B11" s="98"/>
      <c r="C11" s="80"/>
      <c r="D11" s="88"/>
      <c r="E11" s="114"/>
      <c r="F11" s="86"/>
      <c r="G11" s="112"/>
      <c r="H11" s="47" t="s">
        <v>36</v>
      </c>
      <c r="I11" s="237">
        <v>78370</v>
      </c>
      <c r="J11" s="237" t="s">
        <v>41</v>
      </c>
      <c r="K11" s="237" t="s">
        <v>45</v>
      </c>
      <c r="L11" s="237">
        <v>3</v>
      </c>
      <c r="M11" s="237" t="s">
        <v>64</v>
      </c>
      <c r="N11" s="237" t="s">
        <v>51</v>
      </c>
      <c r="O11" s="237">
        <v>12</v>
      </c>
      <c r="P11" s="238" t="s">
        <v>67</v>
      </c>
      <c r="Q11" s="119">
        <f t="shared" si="2"/>
        <v>2821320</v>
      </c>
      <c r="R11" s="43">
        <f>1306200*6%</f>
        <v>78372</v>
      </c>
      <c r="S11" s="50"/>
    </row>
    <row r="12" spans="1:20" ht="18.95" customHeight="1" x14ac:dyDescent="0.15">
      <c r="A12" s="161"/>
      <c r="B12" s="98"/>
      <c r="C12" s="96" t="s">
        <v>94</v>
      </c>
      <c r="D12" s="87">
        <v>20280000</v>
      </c>
      <c r="E12" s="81">
        <f>Q12+Q13+Q14</f>
        <v>20280000</v>
      </c>
      <c r="F12" s="78">
        <f t="shared" si="1"/>
        <v>0</v>
      </c>
      <c r="G12" s="185">
        <f t="shared" si="0"/>
        <v>100</v>
      </c>
      <c r="H12" s="90" t="s">
        <v>206</v>
      </c>
      <c r="I12" s="91">
        <v>80000</v>
      </c>
      <c r="J12" s="91" t="s">
        <v>41</v>
      </c>
      <c r="K12" s="91" t="s">
        <v>45</v>
      </c>
      <c r="L12" s="91">
        <v>11</v>
      </c>
      <c r="M12" s="91" t="s">
        <v>64</v>
      </c>
      <c r="N12" s="91" t="s">
        <v>51</v>
      </c>
      <c r="O12" s="91">
        <v>12</v>
      </c>
      <c r="P12" s="104" t="s">
        <v>67</v>
      </c>
      <c r="Q12" s="169">
        <f t="shared" si="2"/>
        <v>10560000</v>
      </c>
      <c r="R12" s="43">
        <f>3500*24</f>
        <v>84000</v>
      </c>
      <c r="S12" s="50"/>
    </row>
    <row r="13" spans="1:20" ht="18.95" customHeight="1" x14ac:dyDescent="0.15">
      <c r="A13" s="161"/>
      <c r="B13" s="98"/>
      <c r="C13" s="97"/>
      <c r="D13" s="88"/>
      <c r="E13" s="148"/>
      <c r="F13" s="86"/>
      <c r="G13" s="111"/>
      <c r="H13" s="47"/>
      <c r="I13" s="237">
        <v>60000</v>
      </c>
      <c r="J13" s="237" t="s">
        <v>41</v>
      </c>
      <c r="K13" s="237" t="s">
        <v>45</v>
      </c>
      <c r="L13" s="237">
        <v>10</v>
      </c>
      <c r="M13" s="237" t="s">
        <v>64</v>
      </c>
      <c r="N13" s="237" t="s">
        <v>51</v>
      </c>
      <c r="O13" s="237">
        <v>12</v>
      </c>
      <c r="P13" s="238" t="s">
        <v>67</v>
      </c>
      <c r="Q13" s="119">
        <f t="shared" si="2"/>
        <v>7200000</v>
      </c>
      <c r="R13" s="43">
        <f>2500*24</f>
        <v>60000</v>
      </c>
      <c r="S13" s="50"/>
    </row>
    <row r="14" spans="1:20" ht="18.95" customHeight="1" x14ac:dyDescent="0.15">
      <c r="A14" s="161"/>
      <c r="B14" s="98"/>
      <c r="C14" s="173"/>
      <c r="D14" s="88"/>
      <c r="E14" s="67"/>
      <c r="F14" s="68"/>
      <c r="G14" s="186"/>
      <c r="H14" s="69" t="s">
        <v>207</v>
      </c>
      <c r="I14" s="70">
        <v>10000</v>
      </c>
      <c r="J14" s="49" t="s">
        <v>41</v>
      </c>
      <c r="K14" s="49" t="s">
        <v>45</v>
      </c>
      <c r="L14" s="70">
        <v>21</v>
      </c>
      <c r="M14" s="49" t="s">
        <v>64</v>
      </c>
      <c r="N14" s="49" t="s">
        <v>51</v>
      </c>
      <c r="O14" s="70">
        <v>12</v>
      </c>
      <c r="P14" s="99" t="s">
        <v>67</v>
      </c>
      <c r="Q14" s="120">
        <f t="shared" si="2"/>
        <v>2520000</v>
      </c>
      <c r="S14" s="50"/>
      <c r="T14" s="50"/>
    </row>
    <row r="15" spans="1:20" ht="18.95" customHeight="1" x14ac:dyDescent="0.15">
      <c r="A15" s="333" t="s">
        <v>107</v>
      </c>
      <c r="B15" s="334"/>
      <c r="C15" s="334"/>
      <c r="D15" s="138">
        <f>D16</f>
        <v>345542640</v>
      </c>
      <c r="E15" s="71">
        <f>E16</f>
        <v>343140000</v>
      </c>
      <c r="F15" s="61">
        <f>E15-D15</f>
        <v>-2402640</v>
      </c>
      <c r="G15" s="108">
        <f t="shared" si="0"/>
        <v>99.304676262240747</v>
      </c>
      <c r="H15" s="69"/>
      <c r="I15" s="70"/>
      <c r="J15" s="70"/>
      <c r="K15" s="70"/>
      <c r="L15" s="70"/>
      <c r="M15" s="70"/>
      <c r="N15" s="70"/>
      <c r="O15" s="70"/>
      <c r="P15" s="99"/>
      <c r="Q15" s="156"/>
      <c r="S15" s="50"/>
    </row>
    <row r="16" spans="1:20" ht="18.95" customHeight="1" x14ac:dyDescent="0.15">
      <c r="A16" s="72"/>
      <c r="B16" s="335" t="s">
        <v>107</v>
      </c>
      <c r="C16" s="316"/>
      <c r="D16" s="62">
        <f>SUM(D17,D22)</f>
        <v>345542640</v>
      </c>
      <c r="E16" s="62">
        <f>SUM(E17,E22)</f>
        <v>343140000</v>
      </c>
      <c r="F16" s="62">
        <f>E16-D16</f>
        <v>-2402640</v>
      </c>
      <c r="G16" s="110">
        <f t="shared" si="0"/>
        <v>99.304676262240747</v>
      </c>
      <c r="H16" s="69"/>
      <c r="I16" s="70"/>
      <c r="J16" s="64"/>
      <c r="K16" s="64"/>
      <c r="L16" s="64"/>
      <c r="M16" s="64"/>
      <c r="N16" s="70"/>
      <c r="O16" s="70"/>
      <c r="P16" s="99"/>
      <c r="Q16" s="115"/>
    </row>
    <row r="17" spans="1:22" ht="18.95" customHeight="1" x14ac:dyDescent="0.15">
      <c r="A17" s="73"/>
      <c r="B17" s="97"/>
      <c r="C17" s="97" t="s">
        <v>13</v>
      </c>
      <c r="D17" s="87">
        <v>291542640</v>
      </c>
      <c r="E17" s="81">
        <f>Q17</f>
        <v>289140000</v>
      </c>
      <c r="F17" s="78">
        <f>E17-D17</f>
        <v>-2402640</v>
      </c>
      <c r="G17" s="109">
        <f t="shared" si="0"/>
        <v>99.175887273299026</v>
      </c>
      <c r="H17" s="79" t="s">
        <v>13</v>
      </c>
      <c r="I17" s="82"/>
      <c r="J17" s="82"/>
      <c r="K17" s="82"/>
      <c r="L17" s="82"/>
      <c r="M17" s="82"/>
      <c r="N17" s="82"/>
      <c r="O17" s="82"/>
      <c r="P17" s="101"/>
      <c r="Q17" s="118">
        <f>SUM(Q18:Q21)</f>
        <v>289140000</v>
      </c>
    </row>
    <row r="18" spans="1:22" ht="18.95" customHeight="1" x14ac:dyDescent="0.15">
      <c r="A18" s="73"/>
      <c r="B18" s="97"/>
      <c r="C18" s="97"/>
      <c r="D18" s="88"/>
      <c r="E18" s="114"/>
      <c r="F18" s="86"/>
      <c r="G18" s="112"/>
      <c r="H18" s="47" t="s">
        <v>205</v>
      </c>
      <c r="I18" s="237">
        <v>1110270</v>
      </c>
      <c r="J18" s="237" t="s">
        <v>41</v>
      </c>
      <c r="K18" s="237" t="s">
        <v>51</v>
      </c>
      <c r="L18" s="237">
        <v>12</v>
      </c>
      <c r="M18" s="237" t="s">
        <v>64</v>
      </c>
      <c r="N18" s="237" t="s">
        <v>51</v>
      </c>
      <c r="O18" s="237">
        <v>12</v>
      </c>
      <c r="P18" s="238" t="s">
        <v>67</v>
      </c>
      <c r="Q18" s="119">
        <f>I18*L18*O18</f>
        <v>159878880</v>
      </c>
      <c r="R18" s="43">
        <f>1306200*85%</f>
        <v>1110270</v>
      </c>
    </row>
    <row r="19" spans="1:22" ht="18.95" customHeight="1" x14ac:dyDescent="0.15">
      <c r="A19" s="73"/>
      <c r="B19" s="97"/>
      <c r="C19" s="97"/>
      <c r="D19" s="88"/>
      <c r="E19" s="114"/>
      <c r="F19" s="86"/>
      <c r="G19" s="112"/>
      <c r="H19" s="47" t="s">
        <v>33</v>
      </c>
      <c r="I19" s="237">
        <v>1188640</v>
      </c>
      <c r="J19" s="237" t="s">
        <v>41</v>
      </c>
      <c r="K19" s="237" t="s">
        <v>51</v>
      </c>
      <c r="L19" s="237">
        <v>5</v>
      </c>
      <c r="M19" s="237" t="s">
        <v>64</v>
      </c>
      <c r="N19" s="237" t="s">
        <v>51</v>
      </c>
      <c r="O19" s="237">
        <v>12</v>
      </c>
      <c r="P19" s="238" t="s">
        <v>67</v>
      </c>
      <c r="Q19" s="119">
        <f t="shared" ref="Q19:Q20" si="3">I19*L19*O19</f>
        <v>71318400</v>
      </c>
      <c r="R19" s="43">
        <f>1306200*91%</f>
        <v>1188642</v>
      </c>
    </row>
    <row r="20" spans="1:22" ht="18.95" customHeight="1" x14ac:dyDescent="0.15">
      <c r="A20" s="73"/>
      <c r="B20" s="97"/>
      <c r="C20" s="97"/>
      <c r="D20" s="88"/>
      <c r="E20" s="114"/>
      <c r="F20" s="86"/>
      <c r="G20" s="112"/>
      <c r="H20" s="47" t="s">
        <v>167</v>
      </c>
      <c r="I20" s="237">
        <v>1227820</v>
      </c>
      <c r="J20" s="237" t="s">
        <v>41</v>
      </c>
      <c r="K20" s="237" t="s">
        <v>51</v>
      </c>
      <c r="L20" s="237">
        <v>3</v>
      </c>
      <c r="M20" s="237" t="s">
        <v>64</v>
      </c>
      <c r="N20" s="237" t="s">
        <v>51</v>
      </c>
      <c r="O20" s="237">
        <v>12</v>
      </c>
      <c r="P20" s="238" t="s">
        <v>67</v>
      </c>
      <c r="Q20" s="119">
        <f t="shared" si="3"/>
        <v>44201520</v>
      </c>
      <c r="R20" s="43">
        <f>1306200*94%</f>
        <v>1227828</v>
      </c>
    </row>
    <row r="21" spans="1:22" ht="18.95" customHeight="1" x14ac:dyDescent="0.15">
      <c r="A21" s="73"/>
      <c r="B21" s="97"/>
      <c r="C21" s="97"/>
      <c r="D21" s="88"/>
      <c r="E21" s="114"/>
      <c r="F21" s="86"/>
      <c r="G21" s="112"/>
      <c r="H21" s="47" t="s">
        <v>171</v>
      </c>
      <c r="I21" s="237">
        <v>1145100</v>
      </c>
      <c r="J21" s="237" t="s">
        <v>41</v>
      </c>
      <c r="K21" s="237" t="s">
        <v>51</v>
      </c>
      <c r="L21" s="237">
        <v>1</v>
      </c>
      <c r="M21" s="237" t="s">
        <v>64</v>
      </c>
      <c r="N21" s="237" t="s">
        <v>51</v>
      </c>
      <c r="O21" s="237">
        <v>12</v>
      </c>
      <c r="P21" s="238" t="s">
        <v>67</v>
      </c>
      <c r="Q21" s="119">
        <f>I21*L21*O21</f>
        <v>13741200</v>
      </c>
      <c r="R21" s="43">
        <f>1121100*20%</f>
        <v>224220</v>
      </c>
      <c r="S21" s="50">
        <f>I21+R21</f>
        <v>1369320</v>
      </c>
    </row>
    <row r="22" spans="1:22" ht="18.95" customHeight="1" x14ac:dyDescent="0.15">
      <c r="A22" s="73"/>
      <c r="B22" s="97"/>
      <c r="C22" s="96" t="s">
        <v>95</v>
      </c>
      <c r="D22" s="65">
        <v>54000000</v>
      </c>
      <c r="E22" s="78">
        <f>Q22</f>
        <v>54000000</v>
      </c>
      <c r="F22" s="78">
        <f t="shared" ref="F22:F25" si="4">E22-D22</f>
        <v>0</v>
      </c>
      <c r="G22" s="109">
        <f t="shared" si="0"/>
        <v>100</v>
      </c>
      <c r="H22" s="79" t="s">
        <v>168</v>
      </c>
      <c r="I22" s="82">
        <v>4500000</v>
      </c>
      <c r="J22" s="82" t="s">
        <v>41</v>
      </c>
      <c r="K22" s="82" t="s">
        <v>45</v>
      </c>
      <c r="L22" s="82">
        <v>12</v>
      </c>
      <c r="M22" s="82" t="s">
        <v>67</v>
      </c>
      <c r="N22" s="82"/>
      <c r="O22" s="82"/>
      <c r="P22" s="101"/>
      <c r="Q22" s="159">
        <f>I22*L22</f>
        <v>54000000</v>
      </c>
      <c r="V22" s="50"/>
    </row>
    <row r="23" spans="1:22" ht="18.95" customHeight="1" x14ac:dyDescent="0.15">
      <c r="A23" s="314" t="s">
        <v>97</v>
      </c>
      <c r="B23" s="315"/>
      <c r="C23" s="316"/>
      <c r="D23" s="138">
        <f>D24</f>
        <v>1000000</v>
      </c>
      <c r="E23" s="71">
        <f>E24</f>
        <v>1000000</v>
      </c>
      <c r="F23" s="61">
        <f t="shared" si="4"/>
        <v>0</v>
      </c>
      <c r="G23" s="147">
        <f>E23/D23*100</f>
        <v>100</v>
      </c>
      <c r="H23" s="45"/>
      <c r="I23" s="46"/>
      <c r="J23" s="46"/>
      <c r="K23" s="46"/>
      <c r="L23" s="46"/>
      <c r="M23" s="46"/>
      <c r="N23" s="46"/>
      <c r="O23" s="46"/>
      <c r="P23" s="103"/>
      <c r="Q23" s="115"/>
    </row>
    <row r="24" spans="1:22" ht="18.95" customHeight="1" x14ac:dyDescent="0.15">
      <c r="A24" s="73"/>
      <c r="B24" s="332" t="s">
        <v>97</v>
      </c>
      <c r="C24" s="316"/>
      <c r="D24" s="66">
        <f>D25</f>
        <v>1000000</v>
      </c>
      <c r="E24" s="62">
        <f>SUM(E25)</f>
        <v>1000000</v>
      </c>
      <c r="F24" s="68">
        <f t="shared" si="4"/>
        <v>0</v>
      </c>
      <c r="G24" s="110">
        <f t="shared" si="0"/>
        <v>100</v>
      </c>
      <c r="H24" s="45"/>
      <c r="I24" s="46"/>
      <c r="J24" s="46"/>
      <c r="K24" s="46"/>
      <c r="L24" s="46"/>
      <c r="M24" s="46"/>
      <c r="N24" s="46"/>
      <c r="O24" s="46"/>
      <c r="P24" s="103"/>
      <c r="Q24" s="115"/>
    </row>
    <row r="25" spans="1:22" ht="18.95" customHeight="1" x14ac:dyDescent="0.15">
      <c r="A25" s="73"/>
      <c r="B25" s="80"/>
      <c r="C25" s="80" t="s">
        <v>97</v>
      </c>
      <c r="D25" s="87">
        <v>1000000</v>
      </c>
      <c r="E25" s="81">
        <f>Q26+Q27</f>
        <v>1000000</v>
      </c>
      <c r="F25" s="78">
        <f t="shared" si="4"/>
        <v>0</v>
      </c>
      <c r="G25" s="111">
        <f t="shared" si="0"/>
        <v>100</v>
      </c>
      <c r="H25" s="90" t="s">
        <v>97</v>
      </c>
      <c r="I25" s="91"/>
      <c r="J25" s="91"/>
      <c r="K25" s="91"/>
      <c r="L25" s="91"/>
      <c r="M25" s="91"/>
      <c r="N25" s="91"/>
      <c r="O25" s="91"/>
      <c r="P25" s="104"/>
      <c r="Q25" s="118"/>
    </row>
    <row r="26" spans="1:22" ht="18.95" customHeight="1" x14ac:dyDescent="0.15">
      <c r="A26" s="73"/>
      <c r="B26" s="97"/>
      <c r="C26" s="80"/>
      <c r="D26" s="88"/>
      <c r="E26" s="113"/>
      <c r="F26" s="86"/>
      <c r="G26" s="111"/>
      <c r="H26" s="47" t="s">
        <v>92</v>
      </c>
      <c r="I26" s="237">
        <v>500000</v>
      </c>
      <c r="J26" s="237" t="s">
        <v>41</v>
      </c>
      <c r="K26" s="237" t="s">
        <v>51</v>
      </c>
      <c r="L26" s="237">
        <v>1</v>
      </c>
      <c r="M26" s="237" t="s">
        <v>42</v>
      </c>
      <c r="N26" s="237"/>
      <c r="O26" s="237"/>
      <c r="P26" s="238"/>
      <c r="Q26" s="119">
        <f>I26*L26</f>
        <v>500000</v>
      </c>
    </row>
    <row r="27" spans="1:22" ht="18.95" customHeight="1" x14ac:dyDescent="0.15">
      <c r="A27" s="239"/>
      <c r="B27" s="240"/>
      <c r="C27" s="241"/>
      <c r="D27" s="242"/>
      <c r="E27" s="193"/>
      <c r="F27" s="243"/>
      <c r="G27" s="244"/>
      <c r="H27" s="245" t="s">
        <v>89</v>
      </c>
      <c r="I27" s="246">
        <v>500000</v>
      </c>
      <c r="J27" s="246" t="s">
        <v>41</v>
      </c>
      <c r="K27" s="246" t="s">
        <v>51</v>
      </c>
      <c r="L27" s="246">
        <v>1</v>
      </c>
      <c r="M27" s="246" t="s">
        <v>42</v>
      </c>
      <c r="N27" s="246"/>
      <c r="O27" s="246"/>
      <c r="P27" s="247"/>
      <c r="Q27" s="248">
        <f>I27*L27</f>
        <v>500000</v>
      </c>
    </row>
    <row r="28" spans="1:22" ht="18.95" customHeight="1" x14ac:dyDescent="0.15">
      <c r="A28" s="338" t="s">
        <v>50</v>
      </c>
      <c r="B28" s="339"/>
      <c r="C28" s="340"/>
      <c r="D28" s="249">
        <f>D29</f>
        <v>0</v>
      </c>
      <c r="E28" s="250">
        <f>E29</f>
        <v>0</v>
      </c>
      <c r="F28" s="251">
        <f t="shared" ref="F28:F35" si="5">E28-D28</f>
        <v>0</v>
      </c>
      <c r="G28" s="252">
        <v>0</v>
      </c>
      <c r="H28" s="253"/>
      <c r="I28" s="254"/>
      <c r="J28" s="254"/>
      <c r="K28" s="254"/>
      <c r="L28" s="254"/>
      <c r="M28" s="254"/>
      <c r="N28" s="254"/>
      <c r="O28" s="254"/>
      <c r="P28" s="255"/>
      <c r="Q28" s="256"/>
    </row>
    <row r="29" spans="1:22" ht="18.95" customHeight="1" x14ac:dyDescent="0.15">
      <c r="A29" s="161"/>
      <c r="B29" s="332" t="s">
        <v>50</v>
      </c>
      <c r="C29" s="316"/>
      <c r="D29" s="66">
        <f>D30</f>
        <v>0</v>
      </c>
      <c r="E29" s="67">
        <f>E30</f>
        <v>0</v>
      </c>
      <c r="F29" s="68">
        <f t="shared" si="5"/>
        <v>0</v>
      </c>
      <c r="G29" s="110">
        <v>0</v>
      </c>
      <c r="H29" s="48"/>
      <c r="I29" s="49"/>
      <c r="J29" s="49"/>
      <c r="K29" s="49"/>
      <c r="L29" s="49"/>
      <c r="M29" s="49"/>
      <c r="N29" s="49"/>
      <c r="O29" s="49"/>
      <c r="P29" s="102"/>
      <c r="Q29" s="115"/>
    </row>
    <row r="30" spans="1:22" ht="18.95" customHeight="1" x14ac:dyDescent="0.15">
      <c r="A30" s="162"/>
      <c r="B30" s="200"/>
      <c r="C30" s="173" t="s">
        <v>136</v>
      </c>
      <c r="D30" s="66">
        <v>0</v>
      </c>
      <c r="E30" s="51">
        <f>Q30</f>
        <v>0</v>
      </c>
      <c r="F30" s="68">
        <f t="shared" si="5"/>
        <v>0</v>
      </c>
      <c r="G30" s="110">
        <v>0</v>
      </c>
      <c r="H30" s="69" t="s">
        <v>85</v>
      </c>
      <c r="I30" s="70">
        <v>0</v>
      </c>
      <c r="J30" s="70" t="s">
        <v>41</v>
      </c>
      <c r="K30" s="70" t="s">
        <v>51</v>
      </c>
      <c r="L30" s="70">
        <v>0</v>
      </c>
      <c r="M30" s="70" t="s">
        <v>42</v>
      </c>
      <c r="N30" s="70"/>
      <c r="O30" s="70"/>
      <c r="P30" s="99"/>
      <c r="Q30" s="120">
        <f>I30*L30</f>
        <v>0</v>
      </c>
    </row>
    <row r="31" spans="1:22" ht="18.95" customHeight="1" x14ac:dyDescent="0.15">
      <c r="A31" s="337" t="s">
        <v>43</v>
      </c>
      <c r="B31" s="337"/>
      <c r="C31" s="337"/>
      <c r="D31" s="71">
        <f>D32</f>
        <v>16031397</v>
      </c>
      <c r="E31" s="71">
        <f>E32</f>
        <v>30647913</v>
      </c>
      <c r="F31" s="57">
        <f>E31-D31</f>
        <v>14616516</v>
      </c>
      <c r="G31" s="202">
        <f>E31/D31*100</f>
        <v>191.17431250688884</v>
      </c>
      <c r="H31" s="69"/>
      <c r="I31" s="70"/>
      <c r="J31" s="70"/>
      <c r="K31" s="70"/>
      <c r="L31" s="70"/>
      <c r="M31" s="70"/>
      <c r="N31" s="70"/>
      <c r="O31" s="70"/>
      <c r="P31" s="99"/>
      <c r="Q31" s="156"/>
    </row>
    <row r="32" spans="1:22" ht="18.95" customHeight="1" x14ac:dyDescent="0.15">
      <c r="A32" s="74"/>
      <c r="B32" s="332" t="s">
        <v>43</v>
      </c>
      <c r="C32" s="316"/>
      <c r="D32" s="62">
        <f>D33+D34</f>
        <v>16031397</v>
      </c>
      <c r="E32" s="62">
        <f>SUM(E33,E34:E35)</f>
        <v>30647913</v>
      </c>
      <c r="F32" s="62">
        <f>E32-D32</f>
        <v>14616516</v>
      </c>
      <c r="G32" s="110">
        <f t="shared" si="0"/>
        <v>191.17431250688884</v>
      </c>
      <c r="H32" s="63"/>
      <c r="I32" s="64"/>
      <c r="J32" s="64"/>
      <c r="K32" s="64"/>
      <c r="L32" s="64"/>
      <c r="M32" s="64"/>
      <c r="N32" s="64"/>
      <c r="O32" s="64"/>
      <c r="P32" s="100"/>
      <c r="Q32" s="115"/>
    </row>
    <row r="33" spans="1:18" ht="18.95" customHeight="1" x14ac:dyDescent="0.15">
      <c r="A33" s="72"/>
      <c r="B33" s="177"/>
      <c r="C33" s="173" t="s">
        <v>144</v>
      </c>
      <c r="D33" s="66">
        <v>14189983</v>
      </c>
      <c r="E33" s="51">
        <f>Q33</f>
        <v>28345452</v>
      </c>
      <c r="F33" s="62">
        <f t="shared" si="5"/>
        <v>14155469</v>
      </c>
      <c r="G33" s="110">
        <f t="shared" si="0"/>
        <v>199.75677208351834</v>
      </c>
      <c r="H33" s="69" t="s">
        <v>145</v>
      </c>
      <c r="I33" s="70">
        <v>28345452</v>
      </c>
      <c r="J33" s="70" t="s">
        <v>41</v>
      </c>
      <c r="K33" s="70" t="s">
        <v>45</v>
      </c>
      <c r="L33" s="70">
        <v>1</v>
      </c>
      <c r="M33" s="70" t="s">
        <v>42</v>
      </c>
      <c r="N33" s="70"/>
      <c r="O33" s="70"/>
      <c r="P33" s="99"/>
      <c r="Q33" s="120">
        <f>I33*L33</f>
        <v>28345452</v>
      </c>
    </row>
    <row r="34" spans="1:18" ht="18.95" customHeight="1" x14ac:dyDescent="0.15">
      <c r="A34" s="162"/>
      <c r="B34" s="200"/>
      <c r="C34" s="227" t="s">
        <v>130</v>
      </c>
      <c r="D34" s="66">
        <v>1841414</v>
      </c>
      <c r="E34" s="67">
        <v>1951461</v>
      </c>
      <c r="F34" s="62">
        <f t="shared" si="5"/>
        <v>110047</v>
      </c>
      <c r="G34" s="110">
        <f t="shared" si="0"/>
        <v>105.97622262022554</v>
      </c>
      <c r="H34" s="69" t="s">
        <v>132</v>
      </c>
      <c r="I34" s="70">
        <v>1951461</v>
      </c>
      <c r="J34" s="64" t="s">
        <v>41</v>
      </c>
      <c r="K34" s="64" t="s">
        <v>45</v>
      </c>
      <c r="L34" s="64">
        <v>1</v>
      </c>
      <c r="M34" s="64" t="s">
        <v>42</v>
      </c>
      <c r="N34" s="64"/>
      <c r="O34" s="64"/>
      <c r="P34" s="99"/>
      <c r="Q34" s="115">
        <f>I34*L34</f>
        <v>1951461</v>
      </c>
    </row>
    <row r="35" spans="1:18" ht="18.95" customHeight="1" x14ac:dyDescent="0.15">
      <c r="A35" s="162"/>
      <c r="B35" s="178"/>
      <c r="C35" s="173" t="s">
        <v>216</v>
      </c>
      <c r="D35" s="66">
        <v>0</v>
      </c>
      <c r="E35" s="67">
        <f>Q35</f>
        <v>351000</v>
      </c>
      <c r="F35" s="62">
        <f t="shared" si="5"/>
        <v>351000</v>
      </c>
      <c r="G35" s="110"/>
      <c r="H35" s="69" t="s">
        <v>132</v>
      </c>
      <c r="I35" s="70">
        <v>351000</v>
      </c>
      <c r="J35" s="64" t="s">
        <v>41</v>
      </c>
      <c r="K35" s="64" t="s">
        <v>45</v>
      </c>
      <c r="L35" s="64">
        <v>1</v>
      </c>
      <c r="M35" s="64" t="s">
        <v>42</v>
      </c>
      <c r="N35" s="64"/>
      <c r="O35" s="64"/>
      <c r="P35" s="99"/>
      <c r="Q35" s="115">
        <f>I35*L35</f>
        <v>351000</v>
      </c>
    </row>
    <row r="36" spans="1:18" ht="18.95" customHeight="1" x14ac:dyDescent="0.15">
      <c r="A36" s="337" t="s">
        <v>39</v>
      </c>
      <c r="B36" s="337"/>
      <c r="C36" s="337"/>
      <c r="D36" s="57">
        <f>D37</f>
        <v>7967723</v>
      </c>
      <c r="E36" s="57">
        <f>E37</f>
        <v>7066847</v>
      </c>
      <c r="F36" s="57">
        <f>E36-D36</f>
        <v>-900876</v>
      </c>
      <c r="G36" s="108">
        <f t="shared" si="0"/>
        <v>88.693432239047468</v>
      </c>
      <c r="H36" s="69"/>
      <c r="I36" s="70"/>
      <c r="J36" s="70"/>
      <c r="K36" s="70"/>
      <c r="L36" s="70"/>
      <c r="M36" s="70"/>
      <c r="N36" s="70"/>
      <c r="O36" s="70"/>
      <c r="P36" s="155"/>
      <c r="Q36" s="156"/>
    </row>
    <row r="37" spans="1:18" ht="18.95" customHeight="1" x14ac:dyDescent="0.15">
      <c r="A37" s="74"/>
      <c r="B37" s="335" t="s">
        <v>39</v>
      </c>
      <c r="C37" s="335"/>
      <c r="D37" s="62">
        <f>D38+D40+D43</f>
        <v>7967723</v>
      </c>
      <c r="E37" s="62">
        <f>SUM(E38,E40,E43)</f>
        <v>7066847</v>
      </c>
      <c r="F37" s="62">
        <f>E37-D37</f>
        <v>-900876</v>
      </c>
      <c r="G37" s="110">
        <f t="shared" si="0"/>
        <v>88.693432239047468</v>
      </c>
      <c r="H37" s="75"/>
      <c r="I37" s="76"/>
      <c r="J37" s="76"/>
      <c r="K37" s="76"/>
      <c r="L37" s="76"/>
      <c r="M37" s="76"/>
      <c r="N37" s="76"/>
      <c r="O37" s="76"/>
      <c r="P37" s="100"/>
      <c r="Q37" s="115"/>
    </row>
    <row r="38" spans="1:18" ht="18.95" customHeight="1" x14ac:dyDescent="0.15">
      <c r="A38" s="74"/>
      <c r="B38" s="77"/>
      <c r="C38" s="96" t="s">
        <v>6</v>
      </c>
      <c r="D38" s="174">
        <v>7723</v>
      </c>
      <c r="E38" s="81">
        <f>SUM(Q38:Q39)</f>
        <v>6847</v>
      </c>
      <c r="F38" s="78">
        <f t="shared" ref="F38:F43" si="6">E38-D38</f>
        <v>-876</v>
      </c>
      <c r="G38" s="109">
        <f>E38/D38*100</f>
        <v>88.657257542405802</v>
      </c>
      <c r="H38" s="79" t="s">
        <v>101</v>
      </c>
      <c r="I38" s="82">
        <f>8563-900-940-867-9</f>
        <v>5847</v>
      </c>
      <c r="J38" s="82" t="s">
        <v>41</v>
      </c>
      <c r="K38" s="82" t="s">
        <v>45</v>
      </c>
      <c r="L38" s="82">
        <v>1</v>
      </c>
      <c r="M38" s="82" t="s">
        <v>42</v>
      </c>
      <c r="N38" s="82"/>
      <c r="O38" s="82"/>
      <c r="P38" s="101"/>
      <c r="Q38" s="159">
        <f>I38*L38</f>
        <v>5847</v>
      </c>
    </row>
    <row r="39" spans="1:18" ht="17.25" customHeight="1" x14ac:dyDescent="0.15">
      <c r="A39" s="74"/>
      <c r="B39" s="77"/>
      <c r="C39" s="80"/>
      <c r="D39" s="171"/>
      <c r="E39" s="67"/>
      <c r="F39" s="68"/>
      <c r="G39" s="186"/>
      <c r="H39" s="69" t="s">
        <v>27</v>
      </c>
      <c r="I39" s="70">
        <v>1000</v>
      </c>
      <c r="J39" s="70" t="s">
        <v>41</v>
      </c>
      <c r="K39" s="70" t="s">
        <v>45</v>
      </c>
      <c r="L39" s="70">
        <v>1</v>
      </c>
      <c r="M39" s="70" t="s">
        <v>42</v>
      </c>
      <c r="N39" s="70"/>
      <c r="O39" s="70"/>
      <c r="P39" s="99"/>
      <c r="Q39" s="156">
        <f>I39*L39</f>
        <v>1000</v>
      </c>
    </row>
    <row r="40" spans="1:18" ht="19.5" customHeight="1" x14ac:dyDescent="0.15">
      <c r="A40" s="74"/>
      <c r="B40" s="77"/>
      <c r="C40" s="96" t="s">
        <v>71</v>
      </c>
      <c r="D40" s="174">
        <v>2800000</v>
      </c>
      <c r="E40" s="81">
        <f>SUM(Q41:Q42)</f>
        <v>1900000</v>
      </c>
      <c r="F40" s="78">
        <f t="shared" si="6"/>
        <v>-900000</v>
      </c>
      <c r="G40" s="109">
        <f>E40/D40*100</f>
        <v>67.857142857142861</v>
      </c>
      <c r="H40" s="79" t="s">
        <v>71</v>
      </c>
      <c r="I40" s="82"/>
      <c r="J40" s="82"/>
      <c r="K40" s="82"/>
      <c r="L40" s="82"/>
      <c r="M40" s="82"/>
      <c r="N40" s="82"/>
      <c r="O40" s="82"/>
      <c r="P40" s="101"/>
      <c r="Q40" s="159">
        <f>SUM(Q41:Q42)</f>
        <v>1900000</v>
      </c>
    </row>
    <row r="41" spans="1:18" ht="19.5" customHeight="1" x14ac:dyDescent="0.15">
      <c r="A41" s="74"/>
      <c r="B41" s="77"/>
      <c r="C41" s="80"/>
      <c r="D41" s="257"/>
      <c r="E41" s="85"/>
      <c r="F41" s="85"/>
      <c r="G41" s="111"/>
      <c r="H41" s="85" t="s">
        <v>121</v>
      </c>
      <c r="I41" s="258">
        <v>200000</v>
      </c>
      <c r="J41" s="258" t="s">
        <v>41</v>
      </c>
      <c r="K41" s="258" t="s">
        <v>45</v>
      </c>
      <c r="L41" s="258">
        <v>2</v>
      </c>
      <c r="M41" s="258" t="s">
        <v>42</v>
      </c>
      <c r="N41" s="258"/>
      <c r="O41" s="258"/>
      <c r="P41" s="259"/>
      <c r="Q41" s="118">
        <f>I41*L41</f>
        <v>400000</v>
      </c>
    </row>
    <row r="42" spans="1:18" ht="19.5" customHeight="1" x14ac:dyDescent="0.15">
      <c r="A42" s="74"/>
      <c r="B42" s="77"/>
      <c r="C42" s="80"/>
      <c r="D42" s="257"/>
      <c r="E42" s="85"/>
      <c r="F42" s="85"/>
      <c r="G42" s="111"/>
      <c r="H42" s="85" t="s">
        <v>146</v>
      </c>
      <c r="I42" s="258">
        <v>300000</v>
      </c>
      <c r="J42" s="258" t="s">
        <v>147</v>
      </c>
      <c r="K42" s="258" t="s">
        <v>45</v>
      </c>
      <c r="L42" s="258">
        <v>5</v>
      </c>
      <c r="M42" s="258" t="s">
        <v>148</v>
      </c>
      <c r="N42" s="258"/>
      <c r="O42" s="258"/>
      <c r="P42" s="259"/>
      <c r="Q42" s="118">
        <f t="shared" ref="Q42" si="7">I42*L42</f>
        <v>1500000</v>
      </c>
    </row>
    <row r="43" spans="1:18" ht="21.75" customHeight="1" x14ac:dyDescent="0.15">
      <c r="A43" s="74"/>
      <c r="B43" s="77"/>
      <c r="C43" s="96" t="s">
        <v>25</v>
      </c>
      <c r="D43" s="174">
        <v>5160000</v>
      </c>
      <c r="E43" s="78">
        <f>Q43+Q44</f>
        <v>5160000</v>
      </c>
      <c r="F43" s="78">
        <f t="shared" si="6"/>
        <v>0</v>
      </c>
      <c r="G43" s="109">
        <f t="shared" si="0"/>
        <v>100</v>
      </c>
      <c r="H43" s="79" t="s">
        <v>86</v>
      </c>
      <c r="I43" s="82">
        <v>50000</v>
      </c>
      <c r="J43" s="82" t="s">
        <v>41</v>
      </c>
      <c r="K43" s="82" t="s">
        <v>45</v>
      </c>
      <c r="L43" s="82">
        <v>8</v>
      </c>
      <c r="M43" s="82" t="s">
        <v>64</v>
      </c>
      <c r="N43" s="82" t="s">
        <v>45</v>
      </c>
      <c r="O43" s="82">
        <v>12</v>
      </c>
      <c r="P43" s="101" t="s">
        <v>67</v>
      </c>
      <c r="Q43" s="159">
        <f>I43*L43*O43</f>
        <v>4800000</v>
      </c>
    </row>
    <row r="44" spans="1:18" ht="19.899999999999999" customHeight="1" x14ac:dyDescent="0.15">
      <c r="A44" s="233"/>
      <c r="B44" s="193"/>
      <c r="C44" s="193"/>
      <c r="D44" s="194"/>
      <c r="E44" s="165"/>
      <c r="F44" s="193"/>
      <c r="G44" s="195"/>
      <c r="H44" s="193"/>
      <c r="I44" s="164">
        <v>30000</v>
      </c>
      <c r="J44" s="164" t="s">
        <v>41</v>
      </c>
      <c r="K44" s="164" t="s">
        <v>45</v>
      </c>
      <c r="L44" s="164">
        <v>1</v>
      </c>
      <c r="M44" s="164" t="s">
        <v>64</v>
      </c>
      <c r="N44" s="164" t="s">
        <v>45</v>
      </c>
      <c r="O44" s="164">
        <v>12</v>
      </c>
      <c r="P44" s="179" t="s">
        <v>67</v>
      </c>
      <c r="Q44" s="197">
        <f>I44*L44*O44</f>
        <v>360000</v>
      </c>
      <c r="R44" s="196"/>
    </row>
  </sheetData>
  <mergeCells count="21">
    <mergeCell ref="A36:C36"/>
    <mergeCell ref="B37:C37"/>
    <mergeCell ref="B29:C29"/>
    <mergeCell ref="A28:C28"/>
    <mergeCell ref="B24:C24"/>
    <mergeCell ref="A31:C31"/>
    <mergeCell ref="B32:C32"/>
    <mergeCell ref="B7:C7"/>
    <mergeCell ref="A15:C15"/>
    <mergeCell ref="A23:C23"/>
    <mergeCell ref="B16:C16"/>
    <mergeCell ref="J6:P6"/>
    <mergeCell ref="A5:C5"/>
    <mergeCell ref="A6:C6"/>
    <mergeCell ref="A1:P1"/>
    <mergeCell ref="A3:C3"/>
    <mergeCell ref="D3:D4"/>
    <mergeCell ref="E3:E4"/>
    <mergeCell ref="F3:G3"/>
    <mergeCell ref="H3:Q4"/>
    <mergeCell ref="M2:Q2"/>
  </mergeCells>
  <phoneticPr fontId="19" type="noConversion"/>
  <printOptions horizontalCentered="1"/>
  <pageMargins left="0.59041666984558105" right="0.59041666984558105" top="0.78694444894790649" bottom="0.59041666984558105" header="0.51138889789581299" footer="0.51138889789581299"/>
  <pageSetup paperSize="9" scale="71" firstPageNumber="2" orientation="landscape" useFirstPageNumber="1" r:id="rId1"/>
  <headerFooter>
    <oddFooter>&amp;R&amp;"굴림,보통"&amp;9참좋은무일복지센터(2023.02.13)</oddFooter>
  </headerFooter>
  <rowBreaks count="1" manualBreakCount="1">
    <brk id="27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X114"/>
  <sheetViews>
    <sheetView showGridLines="0" view="pageBreakPreview" zoomScaleNormal="100" zoomScaleSheetLayoutView="100" workbookViewId="0">
      <selection activeCell="T97" sqref="T97:T100"/>
    </sheetView>
  </sheetViews>
  <sheetFormatPr defaultColWidth="8.88671875" defaultRowHeight="13.5" x14ac:dyDescent="0.15"/>
  <cols>
    <col min="1" max="2" width="7.77734375" style="43" customWidth="1"/>
    <col min="3" max="3" width="14.77734375" style="43" customWidth="1"/>
    <col min="4" max="4" width="11.6640625" style="44" customWidth="1"/>
    <col min="5" max="5" width="11.6640625" style="43" customWidth="1"/>
    <col min="6" max="6" width="10.77734375" style="43" customWidth="1"/>
    <col min="7" max="7" width="8.33203125" style="106" customWidth="1"/>
    <col min="8" max="8" width="38.33203125" style="43" customWidth="1"/>
    <col min="9" max="9" width="8.77734375" style="43" customWidth="1"/>
    <col min="10" max="11" width="2.77734375" style="43" customWidth="1"/>
    <col min="12" max="12" width="4.77734375" style="43" customWidth="1"/>
    <col min="13" max="19" width="2.77734375" style="43" customWidth="1"/>
    <col min="20" max="20" width="11.33203125" style="116" customWidth="1"/>
    <col min="21" max="21" width="11.21875" style="43" bestFit="1" customWidth="1"/>
    <col min="22" max="22" width="14" style="43" customWidth="1"/>
    <col min="23" max="24" width="11.44140625" style="43" bestFit="1" customWidth="1"/>
    <col min="25" max="16384" width="8.88671875" style="43"/>
  </cols>
  <sheetData>
    <row r="1" spans="1:24" ht="20.100000000000001" customHeight="1" x14ac:dyDescent="0.15">
      <c r="A1" s="317" t="s">
        <v>188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24" s="83" customFormat="1" ht="12.75" customHeight="1" x14ac:dyDescent="0.15">
      <c r="D2" s="157"/>
      <c r="G2" s="158"/>
      <c r="N2" s="330" t="s">
        <v>143</v>
      </c>
      <c r="O2" s="330"/>
      <c r="P2" s="330"/>
      <c r="Q2" s="330"/>
      <c r="R2" s="331"/>
      <c r="S2" s="331"/>
      <c r="T2" s="331"/>
    </row>
    <row r="3" spans="1:24" s="131" customFormat="1" ht="20.100000000000001" customHeight="1" x14ac:dyDescent="0.15">
      <c r="A3" s="318" t="s">
        <v>61</v>
      </c>
      <c r="B3" s="319"/>
      <c r="C3" s="320"/>
      <c r="D3" s="321" t="s">
        <v>231</v>
      </c>
      <c r="E3" s="321" t="s">
        <v>232</v>
      </c>
      <c r="F3" s="323" t="s">
        <v>8</v>
      </c>
      <c r="G3" s="320"/>
      <c r="H3" s="324" t="s">
        <v>110</v>
      </c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44"/>
    </row>
    <row r="4" spans="1:24" s="131" customFormat="1" ht="20.100000000000001" customHeight="1" x14ac:dyDescent="0.15">
      <c r="A4" s="53" t="s">
        <v>47</v>
      </c>
      <c r="B4" s="54" t="s">
        <v>65</v>
      </c>
      <c r="C4" s="54" t="s">
        <v>46</v>
      </c>
      <c r="D4" s="322"/>
      <c r="E4" s="322"/>
      <c r="F4" s="55" t="s">
        <v>48</v>
      </c>
      <c r="G4" s="121" t="s">
        <v>37</v>
      </c>
      <c r="H4" s="327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45"/>
    </row>
    <row r="5" spans="1:24" s="131" customFormat="1" ht="18" customHeight="1" x14ac:dyDescent="0.15">
      <c r="A5" s="311" t="s">
        <v>56</v>
      </c>
      <c r="B5" s="312"/>
      <c r="C5" s="313"/>
      <c r="D5" s="56">
        <f>SUM(D6,D84,D89,D104,D101,D108,D111)</f>
        <v>428910000</v>
      </c>
      <c r="E5" s="56">
        <f>SUM(E6,E84,E89,E104,E101,E108,E111)</f>
        <v>440223000</v>
      </c>
      <c r="F5" s="61">
        <f>E5-D5</f>
        <v>11313000</v>
      </c>
      <c r="G5" s="122">
        <f>E5/D5*100</f>
        <v>102.63761628313632</v>
      </c>
      <c r="H5" s="58"/>
      <c r="I5" s="59"/>
      <c r="J5" s="59"/>
      <c r="K5" s="59"/>
      <c r="L5" s="59"/>
      <c r="M5" s="59"/>
      <c r="N5" s="59"/>
      <c r="O5" s="59"/>
      <c r="P5" s="59"/>
      <c r="Q5" s="59"/>
      <c r="R5" s="59"/>
      <c r="S5" s="99"/>
      <c r="T5" s="117"/>
      <c r="V5" s="132"/>
    </row>
    <row r="6" spans="1:24" s="131" customFormat="1" ht="18" customHeight="1" x14ac:dyDescent="0.15">
      <c r="A6" s="314" t="s">
        <v>40</v>
      </c>
      <c r="B6" s="315"/>
      <c r="C6" s="316"/>
      <c r="D6" s="60">
        <f>SUM(D7,D55,D59)</f>
        <v>357415550</v>
      </c>
      <c r="E6" s="61">
        <f>SUM(E7,E55,E59)</f>
        <v>362729400</v>
      </c>
      <c r="F6" s="61">
        <f>E6-D6</f>
        <v>5313850</v>
      </c>
      <c r="G6" s="123">
        <f>E6/D6*100</f>
        <v>101.48674281239303</v>
      </c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100"/>
      <c r="T6" s="115"/>
    </row>
    <row r="7" spans="1:24" s="131" customFormat="1" ht="18" customHeight="1" x14ac:dyDescent="0.15">
      <c r="A7" s="341"/>
      <c r="B7" s="342" t="s">
        <v>57</v>
      </c>
      <c r="C7" s="343"/>
      <c r="D7" s="65">
        <f>SUM(D8,D17,D47,D49,D46)</f>
        <v>298181550</v>
      </c>
      <c r="E7" s="62">
        <f>SUM(E8:E54)</f>
        <v>303495400</v>
      </c>
      <c r="F7" s="62">
        <f>E7-D7</f>
        <v>5313850</v>
      </c>
      <c r="G7" s="124">
        <f>E7/D7*100</f>
        <v>101.78208544425367</v>
      </c>
      <c r="H7" s="63"/>
      <c r="I7" s="82"/>
      <c r="J7" s="82"/>
      <c r="K7" s="82"/>
      <c r="L7" s="82"/>
      <c r="M7" s="82"/>
      <c r="N7" s="82"/>
      <c r="O7" s="82"/>
      <c r="P7" s="82"/>
      <c r="Q7" s="82"/>
      <c r="R7" s="82"/>
      <c r="S7" s="101"/>
      <c r="T7" s="159"/>
    </row>
    <row r="8" spans="1:24" s="131" customFormat="1" ht="18" customHeight="1" x14ac:dyDescent="0.15">
      <c r="A8" s="341"/>
      <c r="B8" s="84"/>
      <c r="C8" s="80" t="s">
        <v>58</v>
      </c>
      <c r="D8" s="150">
        <v>221347440</v>
      </c>
      <c r="E8" s="81">
        <f>T8+T12</f>
        <v>222004340</v>
      </c>
      <c r="F8" s="78">
        <f>E8-D8</f>
        <v>656900</v>
      </c>
      <c r="G8" s="128">
        <f>E8/D8*100</f>
        <v>100.29677325384925</v>
      </c>
      <c r="H8" s="79" t="s">
        <v>155</v>
      </c>
      <c r="I8" s="82"/>
      <c r="J8" s="82"/>
      <c r="K8" s="82"/>
      <c r="L8" s="82"/>
      <c r="M8" s="82"/>
      <c r="N8" s="82"/>
      <c r="O8" s="82"/>
      <c r="P8" s="82"/>
      <c r="Q8" s="82"/>
      <c r="R8" s="82"/>
      <c r="S8" s="101"/>
      <c r="T8" s="159">
        <f>SUM(T9:T11)</f>
        <v>53115620</v>
      </c>
      <c r="U8" s="116">
        <f>T8+T12</f>
        <v>222004340</v>
      </c>
    </row>
    <row r="9" spans="1:24" s="131" customFormat="1" ht="18" customHeight="1" x14ac:dyDescent="0.15">
      <c r="A9" s="341"/>
      <c r="B9" s="84"/>
      <c r="C9" s="80"/>
      <c r="D9" s="143"/>
      <c r="F9" s="86"/>
      <c r="G9" s="125"/>
      <c r="H9" s="85" t="s">
        <v>112</v>
      </c>
      <c r="I9" s="260">
        <v>3338400</v>
      </c>
      <c r="J9" s="258" t="s">
        <v>41</v>
      </c>
      <c r="K9" s="258" t="s">
        <v>45</v>
      </c>
      <c r="L9" s="258">
        <v>5</v>
      </c>
      <c r="M9" s="258" t="s">
        <v>67</v>
      </c>
      <c r="N9" s="258" t="s">
        <v>45</v>
      </c>
      <c r="O9" s="258">
        <v>1</v>
      </c>
      <c r="P9" s="259" t="s">
        <v>64</v>
      </c>
      <c r="Q9" s="258"/>
      <c r="R9" s="258"/>
      <c r="S9" s="259"/>
      <c r="T9" s="119">
        <f>I9*L9*O9</f>
        <v>16692000</v>
      </c>
      <c r="V9" s="116"/>
      <c r="X9" s="141"/>
    </row>
    <row r="10" spans="1:24" s="131" customFormat="1" ht="18" customHeight="1" x14ac:dyDescent="0.15">
      <c r="A10" s="341"/>
      <c r="B10" s="84"/>
      <c r="C10" s="80"/>
      <c r="D10" s="143"/>
      <c r="F10" s="86"/>
      <c r="G10" s="125"/>
      <c r="H10" s="85"/>
      <c r="I10" s="260">
        <v>3422300</v>
      </c>
      <c r="J10" s="258" t="s">
        <v>41</v>
      </c>
      <c r="K10" s="258" t="s">
        <v>45</v>
      </c>
      <c r="L10" s="258">
        <v>7</v>
      </c>
      <c r="M10" s="258" t="s">
        <v>67</v>
      </c>
      <c r="N10" s="258" t="s">
        <v>45</v>
      </c>
      <c r="O10" s="258">
        <v>1</v>
      </c>
      <c r="P10" s="259" t="s">
        <v>64</v>
      </c>
      <c r="Q10" s="258"/>
      <c r="R10" s="258"/>
      <c r="S10" s="259"/>
      <c r="T10" s="119">
        <f>I10*L10*O10</f>
        <v>23956100</v>
      </c>
      <c r="V10" s="116"/>
      <c r="X10" s="141"/>
    </row>
    <row r="11" spans="1:24" s="131" customFormat="1" ht="18" customHeight="1" x14ac:dyDescent="0.15">
      <c r="A11" s="341"/>
      <c r="B11" s="84"/>
      <c r="C11" s="80"/>
      <c r="D11" s="143"/>
      <c r="F11" s="86"/>
      <c r="G11" s="125"/>
      <c r="H11" s="190" t="s">
        <v>116</v>
      </c>
      <c r="I11" s="258">
        <v>1038960</v>
      </c>
      <c r="J11" s="258" t="s">
        <v>41</v>
      </c>
      <c r="K11" s="258" t="s">
        <v>45</v>
      </c>
      <c r="L11" s="258">
        <v>12</v>
      </c>
      <c r="M11" s="258" t="s">
        <v>67</v>
      </c>
      <c r="N11" s="258" t="s">
        <v>45</v>
      </c>
      <c r="O11" s="258">
        <v>1</v>
      </c>
      <c r="P11" s="259" t="s">
        <v>64</v>
      </c>
      <c r="Q11" s="258"/>
      <c r="R11" s="258"/>
      <c r="S11" s="259"/>
      <c r="T11" s="119">
        <f t="shared" ref="T11" si="0">I11*L11*O11</f>
        <v>12467520</v>
      </c>
      <c r="V11" s="116"/>
      <c r="X11" s="141"/>
    </row>
    <row r="12" spans="1:24" s="131" customFormat="1" ht="18" customHeight="1" x14ac:dyDescent="0.15">
      <c r="A12" s="341"/>
      <c r="B12" s="84"/>
      <c r="C12" s="80"/>
      <c r="D12" s="143"/>
      <c r="F12" s="86"/>
      <c r="G12" s="125"/>
      <c r="H12" s="85" t="s">
        <v>156</v>
      </c>
      <c r="I12" s="258"/>
      <c r="J12" s="258"/>
      <c r="K12" s="258"/>
      <c r="L12" s="258"/>
      <c r="M12" s="258"/>
      <c r="N12" s="258"/>
      <c r="O12" s="258"/>
      <c r="P12" s="259"/>
      <c r="Q12" s="258"/>
      <c r="R12" s="258"/>
      <c r="S12" s="259"/>
      <c r="T12" s="118">
        <f>SUM(T13:T16)</f>
        <v>168888720</v>
      </c>
      <c r="V12" s="116"/>
      <c r="X12" s="141"/>
    </row>
    <row r="13" spans="1:24" s="131" customFormat="1" ht="18" customHeight="1" x14ac:dyDescent="0.15">
      <c r="A13" s="341"/>
      <c r="B13" s="84"/>
      <c r="C13" s="80"/>
      <c r="D13" s="143"/>
      <c r="F13" s="86"/>
      <c r="G13" s="125"/>
      <c r="H13" s="85" t="s">
        <v>109</v>
      </c>
      <c r="I13" s="258">
        <v>2010580</v>
      </c>
      <c r="J13" s="258" t="s">
        <v>41</v>
      </c>
      <c r="K13" s="258" t="s">
        <v>45</v>
      </c>
      <c r="L13" s="258">
        <v>12</v>
      </c>
      <c r="M13" s="258" t="s">
        <v>67</v>
      </c>
      <c r="N13" s="258" t="s">
        <v>45</v>
      </c>
      <c r="O13" s="258">
        <v>1</v>
      </c>
      <c r="P13" s="259" t="s">
        <v>64</v>
      </c>
      <c r="Q13" s="258"/>
      <c r="R13" s="258"/>
      <c r="S13" s="259"/>
      <c r="T13" s="119">
        <f t="shared" ref="T13:T16" si="1">I13*L13*O13</f>
        <v>24126960</v>
      </c>
      <c r="V13" s="132"/>
      <c r="X13" s="142"/>
    </row>
    <row r="14" spans="1:24" s="131" customFormat="1" ht="18" customHeight="1" x14ac:dyDescent="0.15">
      <c r="A14" s="341"/>
      <c r="B14" s="84"/>
      <c r="C14" s="80"/>
      <c r="D14" s="143"/>
      <c r="F14" s="86"/>
      <c r="G14" s="125"/>
      <c r="H14" s="85" t="s">
        <v>102</v>
      </c>
      <c r="I14" s="258">
        <v>2010580</v>
      </c>
      <c r="J14" s="258" t="s">
        <v>41</v>
      </c>
      <c r="K14" s="258" t="s">
        <v>45</v>
      </c>
      <c r="L14" s="258">
        <v>12</v>
      </c>
      <c r="M14" s="258" t="s">
        <v>67</v>
      </c>
      <c r="N14" s="258" t="s">
        <v>45</v>
      </c>
      <c r="O14" s="258">
        <v>1</v>
      </c>
      <c r="P14" s="259" t="s">
        <v>64</v>
      </c>
      <c r="Q14" s="258"/>
      <c r="R14" s="258"/>
      <c r="S14" s="259"/>
      <c r="T14" s="119">
        <f t="shared" si="1"/>
        <v>24126960</v>
      </c>
      <c r="V14" s="132"/>
      <c r="X14" s="142"/>
    </row>
    <row r="15" spans="1:24" s="131" customFormat="1" ht="18" customHeight="1" x14ac:dyDescent="0.15">
      <c r="A15" s="341"/>
      <c r="B15" s="84"/>
      <c r="C15" s="80"/>
      <c r="D15" s="143"/>
      <c r="F15" s="86"/>
      <c r="G15" s="126"/>
      <c r="H15" s="190" t="s">
        <v>117</v>
      </c>
      <c r="I15" s="258">
        <v>2010580</v>
      </c>
      <c r="J15" s="258" t="s">
        <v>41</v>
      </c>
      <c r="K15" s="258" t="s">
        <v>45</v>
      </c>
      <c r="L15" s="258">
        <v>12</v>
      </c>
      <c r="M15" s="258" t="s">
        <v>67</v>
      </c>
      <c r="N15" s="258" t="s">
        <v>45</v>
      </c>
      <c r="O15" s="258">
        <v>1</v>
      </c>
      <c r="P15" s="259" t="s">
        <v>64</v>
      </c>
      <c r="Q15" s="258"/>
      <c r="R15" s="258"/>
      <c r="S15" s="259"/>
      <c r="T15" s="119">
        <f t="shared" si="1"/>
        <v>24126960</v>
      </c>
      <c r="V15" s="132"/>
    </row>
    <row r="16" spans="1:24" s="131" customFormat="1" ht="18" customHeight="1" x14ac:dyDescent="0.15">
      <c r="A16" s="341"/>
      <c r="B16" s="84"/>
      <c r="C16" s="80"/>
      <c r="D16" s="143"/>
      <c r="F16" s="86"/>
      <c r="G16" s="126"/>
      <c r="H16" s="190" t="s">
        <v>75</v>
      </c>
      <c r="I16" s="258">
        <v>2010580</v>
      </c>
      <c r="J16" s="258" t="s">
        <v>41</v>
      </c>
      <c r="K16" s="258" t="s">
        <v>45</v>
      </c>
      <c r="L16" s="258">
        <v>12</v>
      </c>
      <c r="M16" s="258" t="s">
        <v>67</v>
      </c>
      <c r="N16" s="258" t="s">
        <v>45</v>
      </c>
      <c r="O16" s="258">
        <v>4</v>
      </c>
      <c r="P16" s="259" t="s">
        <v>64</v>
      </c>
      <c r="Q16" s="258"/>
      <c r="R16" s="258"/>
      <c r="S16" s="259"/>
      <c r="T16" s="119">
        <f t="shared" si="1"/>
        <v>96507840</v>
      </c>
      <c r="V16" s="132"/>
    </row>
    <row r="17" spans="1:24" s="131" customFormat="1" ht="18" customHeight="1" x14ac:dyDescent="0.15">
      <c r="A17" s="161"/>
      <c r="B17" s="98"/>
      <c r="C17" s="96" t="s">
        <v>114</v>
      </c>
      <c r="D17" s="150">
        <v>27987790</v>
      </c>
      <c r="E17" s="81">
        <f>SUM(T18,T21,T34,T30,T27,T36,T42,T38)</f>
        <v>32292430</v>
      </c>
      <c r="F17" s="78">
        <f>E17-D17</f>
        <v>4304640</v>
      </c>
      <c r="G17" s="128">
        <f>E17/D17*100</f>
        <v>115.38042124797991</v>
      </c>
      <c r="H17" s="63" t="s">
        <v>114</v>
      </c>
      <c r="I17" s="64"/>
      <c r="J17" s="64"/>
      <c r="K17" s="64"/>
      <c r="L17" s="64"/>
      <c r="M17" s="64"/>
      <c r="N17" s="64"/>
      <c r="O17" s="64"/>
      <c r="P17" s="100"/>
      <c r="Q17" s="64"/>
      <c r="R17" s="64"/>
      <c r="S17" s="100"/>
      <c r="T17" s="115"/>
    </row>
    <row r="18" spans="1:24" s="131" customFormat="1" ht="18" customHeight="1" x14ac:dyDescent="0.15">
      <c r="A18" s="161"/>
      <c r="B18" s="98"/>
      <c r="C18" s="80"/>
      <c r="D18" s="144"/>
      <c r="F18" s="86"/>
      <c r="G18" s="126"/>
      <c r="H18" s="85" t="s">
        <v>157</v>
      </c>
      <c r="I18" s="258"/>
      <c r="J18" s="258"/>
      <c r="K18" s="258"/>
      <c r="L18" s="258"/>
      <c r="M18" s="258"/>
      <c r="N18" s="258"/>
      <c r="O18" s="258"/>
      <c r="P18" s="259"/>
      <c r="Q18" s="258"/>
      <c r="R18" s="258"/>
      <c r="S18" s="259"/>
      <c r="T18" s="119">
        <f>SUM(T19:T20)</f>
        <v>3358440</v>
      </c>
      <c r="V18" s="116"/>
    </row>
    <row r="19" spans="1:24" s="131" customFormat="1" ht="18" customHeight="1" x14ac:dyDescent="0.15">
      <c r="A19" s="161"/>
      <c r="B19" s="98"/>
      <c r="C19" s="80"/>
      <c r="D19" s="144"/>
      <c r="F19" s="86"/>
      <c r="G19" s="126"/>
      <c r="H19" s="85" t="s">
        <v>112</v>
      </c>
      <c r="I19" s="260">
        <v>150000</v>
      </c>
      <c r="J19" s="258" t="s">
        <v>41</v>
      </c>
      <c r="K19" s="258" t="s">
        <v>45</v>
      </c>
      <c r="L19" s="258">
        <v>12</v>
      </c>
      <c r="M19" s="258" t="s">
        <v>67</v>
      </c>
      <c r="N19" s="258" t="s">
        <v>45</v>
      </c>
      <c r="O19" s="258">
        <v>1</v>
      </c>
      <c r="P19" s="259" t="s">
        <v>64</v>
      </c>
      <c r="Q19" s="258"/>
      <c r="R19" s="258"/>
      <c r="S19" s="259"/>
      <c r="T19" s="119">
        <f t="shared" ref="T19:T37" si="2">I19*L19*O19</f>
        <v>1800000</v>
      </c>
      <c r="U19" s="116">
        <f>T18+T21+T27+T30+T34+T36+T38+T42</f>
        <v>32292430</v>
      </c>
      <c r="V19" s="116">
        <f>V20/209</f>
        <v>17647.846889952154</v>
      </c>
      <c r="X19" s="116"/>
    </row>
    <row r="20" spans="1:24" s="131" customFormat="1" ht="18" customHeight="1" x14ac:dyDescent="0.15">
      <c r="A20" s="161"/>
      <c r="B20" s="98"/>
      <c r="C20" s="80"/>
      <c r="D20" s="144"/>
      <c r="F20" s="86"/>
      <c r="G20" s="126"/>
      <c r="H20" s="191" t="s">
        <v>116</v>
      </c>
      <c r="I20" s="70">
        <f>9620*4.5*1.5*2</f>
        <v>129870</v>
      </c>
      <c r="J20" s="70" t="s">
        <v>41</v>
      </c>
      <c r="K20" s="70" t="s">
        <v>45</v>
      </c>
      <c r="L20" s="70">
        <v>12</v>
      </c>
      <c r="M20" s="70" t="s">
        <v>67</v>
      </c>
      <c r="N20" s="70" t="s">
        <v>45</v>
      </c>
      <c r="O20" s="70">
        <v>1</v>
      </c>
      <c r="P20" s="99" t="s">
        <v>64</v>
      </c>
      <c r="Q20" s="70"/>
      <c r="R20" s="70"/>
      <c r="S20" s="99"/>
      <c r="T20" s="120">
        <f t="shared" ref="T20" si="3">I20*L20*O20</f>
        <v>1558440</v>
      </c>
      <c r="V20" s="116">
        <f>I9+I19+I37</f>
        <v>3688400</v>
      </c>
      <c r="X20" s="116"/>
    </row>
    <row r="21" spans="1:24" s="131" customFormat="1" ht="18" customHeight="1" x14ac:dyDescent="0.15">
      <c r="A21" s="161"/>
      <c r="B21" s="98"/>
      <c r="C21" s="80"/>
      <c r="D21" s="144"/>
      <c r="F21" s="86"/>
      <c r="G21" s="126"/>
      <c r="H21" s="85" t="s">
        <v>158</v>
      </c>
      <c r="I21" s="258"/>
      <c r="J21" s="258"/>
      <c r="K21" s="258"/>
      <c r="L21" s="258"/>
      <c r="M21" s="258"/>
      <c r="N21" s="258"/>
      <c r="O21" s="258"/>
      <c r="P21" s="259"/>
      <c r="Q21" s="258"/>
      <c r="R21" s="258"/>
      <c r="S21" s="259"/>
      <c r="T21" s="119">
        <f>SUM(T22:T26)</f>
        <v>7471680</v>
      </c>
      <c r="V21" s="116">
        <f>I13+I22</f>
        <v>2206900</v>
      </c>
      <c r="X21" s="116"/>
    </row>
    <row r="22" spans="1:24" s="131" customFormat="1" ht="18" customHeight="1" x14ac:dyDescent="0.15">
      <c r="A22" s="161"/>
      <c r="B22" s="98"/>
      <c r="C22" s="80"/>
      <c r="D22" s="144"/>
      <c r="F22" s="86"/>
      <c r="G22" s="126"/>
      <c r="H22" s="190" t="s">
        <v>109</v>
      </c>
      <c r="I22" s="260">
        <v>196320</v>
      </c>
      <c r="J22" s="258" t="s">
        <v>41</v>
      </c>
      <c r="K22" s="258" t="s">
        <v>45</v>
      </c>
      <c r="L22" s="258">
        <v>12</v>
      </c>
      <c r="M22" s="258" t="s">
        <v>67</v>
      </c>
      <c r="N22" s="258" t="s">
        <v>45</v>
      </c>
      <c r="O22" s="258">
        <v>1</v>
      </c>
      <c r="P22" s="259" t="s">
        <v>64</v>
      </c>
      <c r="Q22" s="258"/>
      <c r="R22" s="258"/>
      <c r="S22" s="259"/>
      <c r="T22" s="119">
        <f t="shared" ref="T22:T23" si="4">I22*L22*O22</f>
        <v>2355840</v>
      </c>
      <c r="V22" s="116">
        <f>V21/209</f>
        <v>10559.33014354067</v>
      </c>
      <c r="X22" s="116"/>
    </row>
    <row r="23" spans="1:24" s="131" customFormat="1" ht="18" customHeight="1" x14ac:dyDescent="0.15">
      <c r="A23" s="161"/>
      <c r="B23" s="98"/>
      <c r="C23" s="80"/>
      <c r="D23" s="144"/>
      <c r="F23" s="86"/>
      <c r="G23" s="126"/>
      <c r="H23" s="190" t="s">
        <v>102</v>
      </c>
      <c r="I23" s="260">
        <v>196320</v>
      </c>
      <c r="J23" s="258" t="s">
        <v>41</v>
      </c>
      <c r="K23" s="258" t="s">
        <v>45</v>
      </c>
      <c r="L23" s="258">
        <v>12</v>
      </c>
      <c r="M23" s="258" t="s">
        <v>67</v>
      </c>
      <c r="N23" s="258" t="s">
        <v>45</v>
      </c>
      <c r="O23" s="258">
        <v>1</v>
      </c>
      <c r="P23" s="259" t="s">
        <v>64</v>
      </c>
      <c r="Q23" s="258"/>
      <c r="R23" s="258"/>
      <c r="S23" s="259"/>
      <c r="T23" s="119">
        <f t="shared" si="4"/>
        <v>2355840</v>
      </c>
      <c r="V23" s="131">
        <v>10410</v>
      </c>
      <c r="X23" s="116"/>
    </row>
    <row r="24" spans="1:24" s="131" customFormat="1" ht="18" customHeight="1" x14ac:dyDescent="0.15">
      <c r="A24" s="161"/>
      <c r="B24" s="98"/>
      <c r="C24" s="80"/>
      <c r="D24" s="144"/>
      <c r="F24" s="86"/>
      <c r="G24" s="126"/>
      <c r="H24" s="190" t="s">
        <v>117</v>
      </c>
      <c r="I24" s="258">
        <v>80000</v>
      </c>
      <c r="J24" s="258" t="s">
        <v>41</v>
      </c>
      <c r="K24" s="258" t="s">
        <v>45</v>
      </c>
      <c r="L24" s="258">
        <v>12</v>
      </c>
      <c r="M24" s="258" t="s">
        <v>67</v>
      </c>
      <c r="N24" s="258" t="s">
        <v>45</v>
      </c>
      <c r="O24" s="258">
        <v>1</v>
      </c>
      <c r="P24" s="259" t="s">
        <v>64</v>
      </c>
      <c r="Q24" s="258"/>
      <c r="R24" s="258"/>
      <c r="S24" s="259"/>
      <c r="T24" s="119">
        <f t="shared" si="2"/>
        <v>960000</v>
      </c>
    </row>
    <row r="25" spans="1:24" s="131" customFormat="1" ht="18" customHeight="1" x14ac:dyDescent="0.15">
      <c r="A25" s="161"/>
      <c r="B25" s="98"/>
      <c r="C25" s="80"/>
      <c r="D25" s="144"/>
      <c r="F25" s="86"/>
      <c r="G25" s="126"/>
      <c r="H25" s="190" t="s">
        <v>212</v>
      </c>
      <c r="I25" s="258">
        <v>60000</v>
      </c>
      <c r="J25" s="258" t="s">
        <v>41</v>
      </c>
      <c r="K25" s="258" t="s">
        <v>45</v>
      </c>
      <c r="L25" s="258">
        <v>12</v>
      </c>
      <c r="M25" s="258" t="s">
        <v>67</v>
      </c>
      <c r="N25" s="258" t="s">
        <v>45</v>
      </c>
      <c r="O25" s="258">
        <v>1</v>
      </c>
      <c r="P25" s="259" t="s">
        <v>64</v>
      </c>
      <c r="Q25" s="258"/>
      <c r="R25" s="258"/>
      <c r="S25" s="259"/>
      <c r="T25" s="119">
        <f>I25*L25*O25</f>
        <v>720000</v>
      </c>
    </row>
    <row r="26" spans="1:24" s="131" customFormat="1" ht="18" customHeight="1" x14ac:dyDescent="0.15">
      <c r="A26" s="161"/>
      <c r="B26" s="98"/>
      <c r="C26" s="80"/>
      <c r="D26" s="144"/>
      <c r="F26" s="86"/>
      <c r="G26" s="126"/>
      <c r="H26" s="191" t="s">
        <v>75</v>
      </c>
      <c r="I26" s="70">
        <v>30000</v>
      </c>
      <c r="J26" s="70" t="s">
        <v>41</v>
      </c>
      <c r="K26" s="70" t="s">
        <v>45</v>
      </c>
      <c r="L26" s="70">
        <v>12</v>
      </c>
      <c r="M26" s="70" t="s">
        <v>67</v>
      </c>
      <c r="N26" s="70" t="s">
        <v>45</v>
      </c>
      <c r="O26" s="70">
        <v>3</v>
      </c>
      <c r="P26" s="99" t="s">
        <v>64</v>
      </c>
      <c r="Q26" s="70"/>
      <c r="R26" s="70"/>
      <c r="S26" s="99"/>
      <c r="T26" s="120">
        <f>I26*L26*O26</f>
        <v>1080000</v>
      </c>
      <c r="V26" s="116"/>
    </row>
    <row r="27" spans="1:24" s="131" customFormat="1" ht="18" customHeight="1" x14ac:dyDescent="0.15">
      <c r="A27" s="161"/>
      <c r="B27" s="98"/>
      <c r="C27" s="80"/>
      <c r="D27" s="144"/>
      <c r="F27" s="86"/>
      <c r="G27" s="126"/>
      <c r="H27" s="85" t="s">
        <v>189</v>
      </c>
      <c r="I27" s="258"/>
      <c r="J27" s="258"/>
      <c r="K27" s="258"/>
      <c r="L27" s="258"/>
      <c r="M27" s="258"/>
      <c r="N27" s="258"/>
      <c r="O27" s="258"/>
      <c r="P27" s="259"/>
      <c r="Q27" s="258"/>
      <c r="R27" s="258"/>
      <c r="S27" s="259"/>
      <c r="T27" s="119">
        <f>SUM(T28:T29)</f>
        <v>1885680</v>
      </c>
      <c r="V27" s="116"/>
    </row>
    <row r="28" spans="1:24" s="131" customFormat="1" ht="18" customHeight="1" x14ac:dyDescent="0.15">
      <c r="A28" s="161"/>
      <c r="B28" s="98"/>
      <c r="C28" s="80"/>
      <c r="D28" s="144"/>
      <c r="F28" s="86"/>
      <c r="G28" s="126"/>
      <c r="H28" s="190" t="s">
        <v>190</v>
      </c>
      <c r="I28" s="260">
        <f>17640*1.5*8</f>
        <v>211680</v>
      </c>
      <c r="J28" s="258" t="s">
        <v>41</v>
      </c>
      <c r="K28" s="258" t="s">
        <v>45</v>
      </c>
      <c r="L28" s="258">
        <v>4</v>
      </c>
      <c r="M28" s="258" t="s">
        <v>213</v>
      </c>
      <c r="N28" s="258" t="s">
        <v>45</v>
      </c>
      <c r="O28" s="258">
        <v>1</v>
      </c>
      <c r="P28" s="259" t="s">
        <v>64</v>
      </c>
      <c r="Q28" s="258"/>
      <c r="R28" s="258"/>
      <c r="S28" s="259"/>
      <c r="T28" s="119">
        <f t="shared" ref="T28" si="5">I28*L28*O28</f>
        <v>846720</v>
      </c>
      <c r="V28" s="116">
        <f>9620*1.5*8</f>
        <v>115440</v>
      </c>
    </row>
    <row r="29" spans="1:24" s="131" customFormat="1" ht="18" customHeight="1" x14ac:dyDescent="0.15">
      <c r="A29" s="161"/>
      <c r="B29" s="98"/>
      <c r="C29" s="80"/>
      <c r="D29" s="144"/>
      <c r="F29" s="86"/>
      <c r="G29" s="126"/>
      <c r="H29" s="191" t="s">
        <v>191</v>
      </c>
      <c r="I29" s="205">
        <f>ROUNDDOWN(9620*3*1.5,-1)</f>
        <v>43290</v>
      </c>
      <c r="J29" s="70" t="s">
        <v>41</v>
      </c>
      <c r="K29" s="70" t="s">
        <v>45</v>
      </c>
      <c r="L29" s="70">
        <v>24</v>
      </c>
      <c r="M29" s="70" t="s">
        <v>213</v>
      </c>
      <c r="N29" s="70" t="s">
        <v>45</v>
      </c>
      <c r="O29" s="70">
        <v>1</v>
      </c>
      <c r="P29" s="99" t="s">
        <v>64</v>
      </c>
      <c r="Q29" s="70"/>
      <c r="R29" s="70"/>
      <c r="S29" s="99"/>
      <c r="T29" s="120">
        <f t="shared" ref="T29:T32" si="6">I29*L29*O29</f>
        <v>1038960</v>
      </c>
      <c r="V29" s="116">
        <f>9620*1.5*8</f>
        <v>115440</v>
      </c>
    </row>
    <row r="30" spans="1:24" s="131" customFormat="1" ht="18" customHeight="1" x14ac:dyDescent="0.15">
      <c r="A30" s="161"/>
      <c r="B30" s="98"/>
      <c r="C30" s="80"/>
      <c r="D30" s="144"/>
      <c r="F30" s="86"/>
      <c r="G30" s="126"/>
      <c r="H30" s="85" t="s">
        <v>160</v>
      </c>
      <c r="I30" s="261"/>
      <c r="J30" s="258"/>
      <c r="K30" s="258"/>
      <c r="L30" s="258"/>
      <c r="M30" s="258"/>
      <c r="N30" s="258"/>
      <c r="O30" s="258"/>
      <c r="P30" s="259"/>
      <c r="Q30" s="258"/>
      <c r="R30" s="258"/>
      <c r="S30" s="259"/>
      <c r="T30" s="119">
        <f>SUM(T31:T33)</f>
        <v>3961920</v>
      </c>
      <c r="V30" s="116"/>
    </row>
    <row r="31" spans="1:24" s="131" customFormat="1" ht="18" customHeight="1" x14ac:dyDescent="0.15">
      <c r="A31" s="161"/>
      <c r="B31" s="98"/>
      <c r="C31" s="80"/>
      <c r="D31" s="144"/>
      <c r="F31" s="86"/>
      <c r="G31" s="126"/>
      <c r="H31" s="190" t="s">
        <v>192</v>
      </c>
      <c r="I31" s="260">
        <f>10550*1.5*8</f>
        <v>126600</v>
      </c>
      <c r="J31" s="258" t="s">
        <v>41</v>
      </c>
      <c r="K31" s="258" t="s">
        <v>45</v>
      </c>
      <c r="L31" s="258">
        <v>8</v>
      </c>
      <c r="M31" s="258" t="s">
        <v>213</v>
      </c>
      <c r="N31" s="258" t="s">
        <v>45</v>
      </c>
      <c r="O31" s="258">
        <v>2</v>
      </c>
      <c r="P31" s="259" t="s">
        <v>64</v>
      </c>
      <c r="Q31" s="258"/>
      <c r="R31" s="258"/>
      <c r="S31" s="259"/>
      <c r="T31" s="119">
        <f t="shared" si="6"/>
        <v>2025600</v>
      </c>
      <c r="V31" s="116"/>
    </row>
    <row r="32" spans="1:24" s="131" customFormat="1" ht="18" customHeight="1" x14ac:dyDescent="0.15">
      <c r="A32" s="161"/>
      <c r="B32" s="98"/>
      <c r="C32" s="80"/>
      <c r="D32" s="144"/>
      <c r="F32" s="86"/>
      <c r="G32" s="126"/>
      <c r="H32" s="190" t="s">
        <v>193</v>
      </c>
      <c r="I32" s="260">
        <f>10550*1.5*8</f>
        <v>126600</v>
      </c>
      <c r="J32" s="258" t="s">
        <v>41</v>
      </c>
      <c r="K32" s="258" t="s">
        <v>45</v>
      </c>
      <c r="L32" s="258">
        <v>8</v>
      </c>
      <c r="M32" s="258" t="s">
        <v>213</v>
      </c>
      <c r="N32" s="258" t="s">
        <v>45</v>
      </c>
      <c r="O32" s="258">
        <v>1</v>
      </c>
      <c r="P32" s="259" t="s">
        <v>64</v>
      </c>
      <c r="Q32" s="258"/>
      <c r="R32" s="258"/>
      <c r="S32" s="259"/>
      <c r="T32" s="119">
        <f t="shared" si="6"/>
        <v>1012800</v>
      </c>
      <c r="V32" s="116"/>
    </row>
    <row r="33" spans="1:23" s="131" customFormat="1" ht="18" customHeight="1" x14ac:dyDescent="0.15">
      <c r="A33" s="235"/>
      <c r="B33" s="262"/>
      <c r="C33" s="241"/>
      <c r="D33" s="263"/>
      <c r="E33" s="264"/>
      <c r="F33" s="243"/>
      <c r="G33" s="265"/>
      <c r="H33" s="266" t="s">
        <v>166</v>
      </c>
      <c r="I33" s="164">
        <f>ROUNDDOWN(9620*1.5*8,-1)</f>
        <v>115440</v>
      </c>
      <c r="J33" s="164" t="s">
        <v>41</v>
      </c>
      <c r="K33" s="164" t="s">
        <v>45</v>
      </c>
      <c r="L33" s="164">
        <v>4</v>
      </c>
      <c r="M33" s="164" t="s">
        <v>213</v>
      </c>
      <c r="N33" s="164" t="s">
        <v>45</v>
      </c>
      <c r="O33" s="164">
        <v>2</v>
      </c>
      <c r="P33" s="179" t="s">
        <v>64</v>
      </c>
      <c r="Q33" s="164"/>
      <c r="R33" s="164"/>
      <c r="S33" s="179"/>
      <c r="T33" s="248">
        <f t="shared" ref="T33" si="7">I33*L33*O33</f>
        <v>923520</v>
      </c>
      <c r="V33" s="116">
        <f>9160*10</f>
        <v>91600</v>
      </c>
    </row>
    <row r="34" spans="1:23" s="131" customFormat="1" ht="18" customHeight="1" x14ac:dyDescent="0.15">
      <c r="A34" s="267"/>
      <c r="B34" s="268"/>
      <c r="C34" s="269"/>
      <c r="D34" s="270"/>
      <c r="E34" s="271"/>
      <c r="F34" s="272"/>
      <c r="G34" s="273"/>
      <c r="H34" s="274" t="s">
        <v>159</v>
      </c>
      <c r="I34" s="275"/>
      <c r="J34" s="275"/>
      <c r="K34" s="275"/>
      <c r="L34" s="275"/>
      <c r="M34" s="275"/>
      <c r="N34" s="275"/>
      <c r="O34" s="275"/>
      <c r="P34" s="276"/>
      <c r="Q34" s="275"/>
      <c r="R34" s="275"/>
      <c r="S34" s="276"/>
      <c r="T34" s="277">
        <f>SUM(T35:T35)</f>
        <v>432900</v>
      </c>
      <c r="V34" s="116"/>
    </row>
    <row r="35" spans="1:23" s="131" customFormat="1" ht="18" customHeight="1" x14ac:dyDescent="0.15">
      <c r="A35" s="161"/>
      <c r="B35" s="98"/>
      <c r="C35" s="80"/>
      <c r="D35" s="144"/>
      <c r="F35" s="86"/>
      <c r="G35" s="126"/>
      <c r="H35" s="69" t="s">
        <v>116</v>
      </c>
      <c r="I35" s="70">
        <f>ROUNDDOWN(9620*4.5,-1)</f>
        <v>43290</v>
      </c>
      <c r="J35" s="70" t="s">
        <v>41</v>
      </c>
      <c r="K35" s="70" t="s">
        <v>45</v>
      </c>
      <c r="L35" s="70">
        <v>10</v>
      </c>
      <c r="M35" s="70" t="s">
        <v>42</v>
      </c>
      <c r="N35" s="70" t="s">
        <v>45</v>
      </c>
      <c r="O35" s="70">
        <v>1</v>
      </c>
      <c r="P35" s="99" t="s">
        <v>64</v>
      </c>
      <c r="Q35" s="70"/>
      <c r="R35" s="70"/>
      <c r="S35" s="99"/>
      <c r="T35" s="120">
        <f t="shared" ref="T35" si="8">I35*L35*O35</f>
        <v>432900</v>
      </c>
      <c r="V35" s="70">
        <f>9620*1.5*4.5</f>
        <v>64935</v>
      </c>
    </row>
    <row r="36" spans="1:23" s="131" customFormat="1" ht="18" customHeight="1" x14ac:dyDescent="0.15">
      <c r="A36" s="161"/>
      <c r="B36" s="98"/>
      <c r="C36" s="80"/>
      <c r="D36" s="144"/>
      <c r="F36" s="86"/>
      <c r="G36" s="126"/>
      <c r="H36" s="85" t="s">
        <v>161</v>
      </c>
      <c r="I36" s="258"/>
      <c r="J36" s="258"/>
      <c r="K36" s="258"/>
      <c r="L36" s="258"/>
      <c r="M36" s="258"/>
      <c r="N36" s="258"/>
      <c r="O36" s="258"/>
      <c r="P36" s="259"/>
      <c r="Q36" s="258"/>
      <c r="R36" s="258"/>
      <c r="S36" s="259"/>
      <c r="T36" s="119">
        <f>SUM(T37:T37)</f>
        <v>2400000</v>
      </c>
      <c r="V36" s="132"/>
    </row>
    <row r="37" spans="1:23" s="131" customFormat="1" ht="18" customHeight="1" x14ac:dyDescent="0.15">
      <c r="A37" s="161"/>
      <c r="B37" s="98"/>
      <c r="C37" s="80"/>
      <c r="D37" s="144"/>
      <c r="F37" s="86"/>
      <c r="G37" s="129"/>
      <c r="H37" s="69" t="s">
        <v>112</v>
      </c>
      <c r="I37" s="70">
        <v>200000</v>
      </c>
      <c r="J37" s="70" t="s">
        <v>41</v>
      </c>
      <c r="K37" s="70" t="s">
        <v>45</v>
      </c>
      <c r="L37" s="70">
        <v>12</v>
      </c>
      <c r="M37" s="70" t="s">
        <v>67</v>
      </c>
      <c r="N37" s="70" t="s">
        <v>45</v>
      </c>
      <c r="O37" s="70">
        <v>1</v>
      </c>
      <c r="P37" s="99" t="s">
        <v>64</v>
      </c>
      <c r="Q37" s="70"/>
      <c r="R37" s="70"/>
      <c r="S37" s="99"/>
      <c r="T37" s="120">
        <f t="shared" si="2"/>
        <v>2400000</v>
      </c>
      <c r="V37" s="116"/>
    </row>
    <row r="38" spans="1:23" ht="20.100000000000001" customHeight="1" x14ac:dyDescent="0.15">
      <c r="A38" s="161"/>
      <c r="B38" s="98"/>
      <c r="C38" s="80"/>
      <c r="D38" s="144"/>
      <c r="F38" s="86"/>
      <c r="G38" s="126"/>
      <c r="H38" s="85" t="s">
        <v>162</v>
      </c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9"/>
      <c r="T38" s="119">
        <f>SUM(T39:T41)</f>
        <v>4456420</v>
      </c>
      <c r="V38" s="184"/>
    </row>
    <row r="39" spans="1:23" ht="20.100000000000001" customHeight="1" x14ac:dyDescent="0.15">
      <c r="A39" s="161"/>
      <c r="B39" s="98"/>
      <c r="C39" s="80"/>
      <c r="D39" s="144"/>
      <c r="F39" s="86"/>
      <c r="G39" s="126"/>
      <c r="H39" s="85" t="s">
        <v>112</v>
      </c>
      <c r="I39" s="258">
        <v>3338400</v>
      </c>
      <c r="J39" s="258" t="s">
        <v>38</v>
      </c>
      <c r="K39" s="258" t="s">
        <v>45</v>
      </c>
      <c r="L39" s="258">
        <v>60</v>
      </c>
      <c r="M39" s="258" t="s">
        <v>37</v>
      </c>
      <c r="N39" s="258" t="s">
        <v>45</v>
      </c>
      <c r="O39" s="258">
        <v>1</v>
      </c>
      <c r="P39" s="258" t="s">
        <v>42</v>
      </c>
      <c r="Q39" s="258"/>
      <c r="R39" s="258"/>
      <c r="S39" s="259"/>
      <c r="T39" s="119">
        <f>I39*L39%*O39</f>
        <v>2003040</v>
      </c>
      <c r="V39" s="184"/>
    </row>
    <row r="40" spans="1:23" ht="20.100000000000001" customHeight="1" x14ac:dyDescent="0.15">
      <c r="A40" s="161"/>
      <c r="B40" s="98"/>
      <c r="C40" s="80"/>
      <c r="D40" s="144"/>
      <c r="F40" s="86"/>
      <c r="G40" s="126"/>
      <c r="H40" s="85"/>
      <c r="I40" s="258">
        <v>3422300</v>
      </c>
      <c r="J40" s="258" t="s">
        <v>38</v>
      </c>
      <c r="K40" s="258" t="s">
        <v>45</v>
      </c>
      <c r="L40" s="258">
        <v>60</v>
      </c>
      <c r="M40" s="258" t="s">
        <v>37</v>
      </c>
      <c r="N40" s="258" t="s">
        <v>45</v>
      </c>
      <c r="O40" s="258">
        <v>1</v>
      </c>
      <c r="P40" s="258" t="s">
        <v>42</v>
      </c>
      <c r="Q40" s="258"/>
      <c r="R40" s="258"/>
      <c r="S40" s="259"/>
      <c r="T40" s="119">
        <f>I40*L40%*O40</f>
        <v>2053380</v>
      </c>
      <c r="V40" s="184"/>
    </row>
    <row r="41" spans="1:23" ht="20.100000000000001" customHeight="1" x14ac:dyDescent="0.15">
      <c r="A41" s="161"/>
      <c r="B41" s="98"/>
      <c r="C41" s="80"/>
      <c r="D41" s="144"/>
      <c r="F41" s="86"/>
      <c r="G41" s="126"/>
      <c r="H41" s="69" t="s">
        <v>116</v>
      </c>
      <c r="I41" s="70">
        <v>200000</v>
      </c>
      <c r="J41" s="70" t="s">
        <v>41</v>
      </c>
      <c r="K41" s="70" t="s">
        <v>45</v>
      </c>
      <c r="L41" s="70">
        <v>1</v>
      </c>
      <c r="M41" s="70" t="s">
        <v>64</v>
      </c>
      <c r="N41" s="70" t="s">
        <v>45</v>
      </c>
      <c r="O41" s="70">
        <v>2</v>
      </c>
      <c r="P41" s="70" t="s">
        <v>42</v>
      </c>
      <c r="Q41" s="70"/>
      <c r="R41" s="70"/>
      <c r="S41" s="99"/>
      <c r="T41" s="120">
        <f>I41*L41*O41</f>
        <v>400000</v>
      </c>
      <c r="V41" s="184"/>
    </row>
    <row r="42" spans="1:23" ht="20.100000000000001" customHeight="1" x14ac:dyDescent="0.15">
      <c r="A42" s="161"/>
      <c r="B42" s="98"/>
      <c r="C42" s="80"/>
      <c r="D42" s="144"/>
      <c r="F42" s="86"/>
      <c r="G42" s="126"/>
      <c r="H42" s="85" t="s">
        <v>163</v>
      </c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9"/>
      <c r="T42" s="119">
        <f>SUM(T43:T45)</f>
        <v>8325390</v>
      </c>
      <c r="V42" s="184"/>
    </row>
    <row r="43" spans="1:23" ht="20.100000000000001" customHeight="1" x14ac:dyDescent="0.15">
      <c r="A43" s="161"/>
      <c r="B43" s="98"/>
      <c r="C43" s="80"/>
      <c r="D43" s="144"/>
      <c r="F43" s="86"/>
      <c r="G43" s="126"/>
      <c r="H43" s="85" t="s">
        <v>106</v>
      </c>
      <c r="I43" s="258">
        <v>2010580</v>
      </c>
      <c r="J43" s="258" t="s">
        <v>38</v>
      </c>
      <c r="K43" s="258" t="s">
        <v>45</v>
      </c>
      <c r="L43" s="258">
        <v>60</v>
      </c>
      <c r="M43" s="258" t="s">
        <v>37</v>
      </c>
      <c r="N43" s="258" t="s">
        <v>45</v>
      </c>
      <c r="O43" s="258">
        <v>4</v>
      </c>
      <c r="P43" s="258" t="s">
        <v>42</v>
      </c>
      <c r="Q43" s="258"/>
      <c r="R43" s="258"/>
      <c r="S43" s="259"/>
      <c r="T43" s="119">
        <f>ROUNDDOWN(I43*L43%*O43,-1)</f>
        <v>4825390</v>
      </c>
      <c r="V43" s="184"/>
    </row>
    <row r="44" spans="1:23" ht="20.100000000000001" customHeight="1" x14ac:dyDescent="0.15">
      <c r="A44" s="161"/>
      <c r="B44" s="98"/>
      <c r="C44" s="80"/>
      <c r="D44" s="144"/>
      <c r="F44" s="86"/>
      <c r="G44" s="126"/>
      <c r="H44" s="85" t="s">
        <v>117</v>
      </c>
      <c r="I44" s="258">
        <v>350000</v>
      </c>
      <c r="J44" s="258" t="s">
        <v>38</v>
      </c>
      <c r="K44" s="258" t="s">
        <v>45</v>
      </c>
      <c r="L44" s="258">
        <v>1</v>
      </c>
      <c r="M44" s="258" t="s">
        <v>64</v>
      </c>
      <c r="N44" s="258" t="s">
        <v>45</v>
      </c>
      <c r="O44" s="258">
        <v>2</v>
      </c>
      <c r="P44" s="258" t="s">
        <v>42</v>
      </c>
      <c r="Q44" s="258"/>
      <c r="R44" s="258"/>
      <c r="S44" s="259"/>
      <c r="T44" s="119">
        <f t="shared" ref="T44:T45" si="9">I44*L44*O44</f>
        <v>700000</v>
      </c>
      <c r="V44" s="184">
        <f>1616160-587524</f>
        <v>1028636</v>
      </c>
    </row>
    <row r="45" spans="1:23" ht="20.100000000000001" customHeight="1" x14ac:dyDescent="0.15">
      <c r="A45" s="161"/>
      <c r="B45" s="98"/>
      <c r="C45" s="80"/>
      <c r="D45" s="144"/>
      <c r="F45" s="86"/>
      <c r="G45" s="126"/>
      <c r="H45" s="69" t="s">
        <v>75</v>
      </c>
      <c r="I45" s="70">
        <v>350000</v>
      </c>
      <c r="J45" s="70" t="s">
        <v>38</v>
      </c>
      <c r="K45" s="70" t="s">
        <v>45</v>
      </c>
      <c r="L45" s="70">
        <v>4</v>
      </c>
      <c r="M45" s="70" t="s">
        <v>64</v>
      </c>
      <c r="N45" s="70" t="s">
        <v>45</v>
      </c>
      <c r="O45" s="70">
        <v>2</v>
      </c>
      <c r="P45" s="70" t="s">
        <v>42</v>
      </c>
      <c r="Q45" s="70"/>
      <c r="R45" s="70"/>
      <c r="S45" s="99"/>
      <c r="T45" s="120">
        <f t="shared" si="9"/>
        <v>2800000</v>
      </c>
      <c r="V45" s="184"/>
    </row>
    <row r="46" spans="1:23" ht="20.100000000000001" customHeight="1" x14ac:dyDescent="0.15">
      <c r="A46" s="161"/>
      <c r="B46" s="98"/>
      <c r="C46" s="175" t="s">
        <v>220</v>
      </c>
      <c r="D46" s="198">
        <v>1616160</v>
      </c>
      <c r="E46" s="199">
        <f>T46</f>
        <v>1028630</v>
      </c>
      <c r="F46" s="62">
        <f>E46-D46</f>
        <v>-587530</v>
      </c>
      <c r="G46" s="180">
        <v>0</v>
      </c>
      <c r="H46" s="69" t="s">
        <v>209</v>
      </c>
      <c r="I46" s="258">
        <v>1028630</v>
      </c>
      <c r="J46" s="258" t="s">
        <v>194</v>
      </c>
      <c r="K46" s="70" t="s">
        <v>45</v>
      </c>
      <c r="L46" s="70">
        <v>1</v>
      </c>
      <c r="M46" s="70" t="s">
        <v>64</v>
      </c>
      <c r="N46" s="70" t="s">
        <v>45</v>
      </c>
      <c r="O46" s="70">
        <v>1</v>
      </c>
      <c r="P46" s="70" t="s">
        <v>42</v>
      </c>
      <c r="Q46" s="258"/>
      <c r="R46" s="258"/>
      <c r="S46" s="259"/>
      <c r="T46" s="120">
        <f t="shared" ref="T46" si="10">I46*L46*O46</f>
        <v>1028630</v>
      </c>
      <c r="V46" s="43">
        <f>9620*3</f>
        <v>28860</v>
      </c>
    </row>
    <row r="47" spans="1:23" ht="20.100000000000001" customHeight="1" x14ac:dyDescent="0.15">
      <c r="A47" s="161"/>
      <c r="B47" s="177"/>
      <c r="C47" s="80" t="s">
        <v>31</v>
      </c>
      <c r="D47" s="143">
        <v>20777930</v>
      </c>
      <c r="E47" s="148">
        <f>T48</f>
        <v>21191390</v>
      </c>
      <c r="F47" s="86">
        <f>E47-D47</f>
        <v>413460</v>
      </c>
      <c r="G47" s="129">
        <f>E47/D47*100</f>
        <v>101.98989986009192</v>
      </c>
      <c r="H47" s="79" t="s">
        <v>11</v>
      </c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101"/>
      <c r="T47" s="159"/>
      <c r="U47" s="131"/>
      <c r="V47" s="184">
        <f>V46*28</f>
        <v>808080</v>
      </c>
    </row>
    <row r="48" spans="1:23" ht="20.100000000000001" customHeight="1" x14ac:dyDescent="0.15">
      <c r="A48" s="161"/>
      <c r="B48" s="98"/>
      <c r="C48" s="173"/>
      <c r="D48" s="145"/>
      <c r="E48" s="67"/>
      <c r="F48" s="68"/>
      <c r="G48" s="154"/>
      <c r="H48" s="69" t="s">
        <v>208</v>
      </c>
      <c r="I48" s="70">
        <f>E8+E17</f>
        <v>254296770</v>
      </c>
      <c r="J48" s="70" t="s">
        <v>41</v>
      </c>
      <c r="K48" s="70" t="s">
        <v>62</v>
      </c>
      <c r="L48" s="70">
        <v>12</v>
      </c>
      <c r="M48" s="70" t="s">
        <v>67</v>
      </c>
      <c r="N48" s="70"/>
      <c r="O48" s="70"/>
      <c r="P48" s="70"/>
      <c r="Q48" s="70"/>
      <c r="R48" s="70"/>
      <c r="S48" s="99"/>
      <c r="T48" s="120">
        <f>ROUNDDOWN(I48/L48,-1)</f>
        <v>21191390</v>
      </c>
      <c r="U48" s="131">
        <f>I48/L48</f>
        <v>21191397.5</v>
      </c>
      <c r="V48" s="184"/>
      <c r="W48" s="187"/>
    </row>
    <row r="49" spans="1:24" ht="18.95" customHeight="1" x14ac:dyDescent="0.15">
      <c r="A49" s="161"/>
      <c r="B49" s="98"/>
      <c r="C49" s="80" t="s">
        <v>70</v>
      </c>
      <c r="D49" s="153">
        <v>26452230</v>
      </c>
      <c r="E49" s="148">
        <f>SUM(T50:T54)</f>
        <v>26978610</v>
      </c>
      <c r="F49" s="86">
        <f>E49-D49</f>
        <v>526380</v>
      </c>
      <c r="G49" s="129">
        <f>E49/D49*100</f>
        <v>101.98992674719673</v>
      </c>
      <c r="H49" s="79" t="s">
        <v>21</v>
      </c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101"/>
      <c r="T49" s="159"/>
      <c r="W49" s="188"/>
    </row>
    <row r="50" spans="1:24" ht="18.95" customHeight="1" x14ac:dyDescent="0.15">
      <c r="A50" s="161"/>
      <c r="B50" s="98"/>
      <c r="C50" s="80"/>
      <c r="D50" s="133"/>
      <c r="F50" s="86"/>
      <c r="G50" s="126"/>
      <c r="H50" s="85" t="s">
        <v>104</v>
      </c>
      <c r="I50" s="258">
        <f>I48</f>
        <v>254296770</v>
      </c>
      <c r="J50" s="258" t="s">
        <v>41</v>
      </c>
      <c r="K50" s="258" t="s">
        <v>45</v>
      </c>
      <c r="L50" s="278">
        <v>4.5</v>
      </c>
      <c r="M50" s="258" t="s">
        <v>37</v>
      </c>
      <c r="N50" s="258"/>
      <c r="O50" s="258"/>
      <c r="P50" s="258"/>
      <c r="Q50" s="258"/>
      <c r="R50" s="258"/>
      <c r="S50" s="259"/>
      <c r="T50" s="119">
        <f>ROUNDDOWN((I50*L50/100),-1)</f>
        <v>11443350</v>
      </c>
      <c r="U50" s="131"/>
      <c r="V50" s="184"/>
      <c r="W50" s="184"/>
    </row>
    <row r="51" spans="1:24" ht="18.95" customHeight="1" x14ac:dyDescent="0.15">
      <c r="A51" s="161"/>
      <c r="B51" s="98"/>
      <c r="C51" s="80"/>
      <c r="D51" s="133"/>
      <c r="F51" s="86"/>
      <c r="G51" s="126"/>
      <c r="H51" s="85" t="s">
        <v>84</v>
      </c>
      <c r="I51" s="258">
        <f>I50</f>
        <v>254296770</v>
      </c>
      <c r="J51" s="258" t="s">
        <v>41</v>
      </c>
      <c r="K51" s="258" t="s">
        <v>45</v>
      </c>
      <c r="L51" s="279">
        <v>3.5449999999999999</v>
      </c>
      <c r="M51" s="258" t="s">
        <v>37</v>
      </c>
      <c r="N51" s="258"/>
      <c r="O51" s="258"/>
      <c r="P51" s="258"/>
      <c r="Q51" s="258"/>
      <c r="R51" s="258"/>
      <c r="S51" s="259"/>
      <c r="T51" s="119">
        <f>ROUNDDOWN((I51*L51/100),-1)</f>
        <v>9014820</v>
      </c>
      <c r="U51" s="131"/>
      <c r="V51" s="187"/>
      <c r="W51" s="187"/>
    </row>
    <row r="52" spans="1:24" ht="18.95" customHeight="1" x14ac:dyDescent="0.15">
      <c r="A52" s="161"/>
      <c r="B52" s="98"/>
      <c r="C52" s="80"/>
      <c r="D52" s="133"/>
      <c r="F52" s="86"/>
      <c r="G52" s="126"/>
      <c r="H52" s="85" t="s">
        <v>73</v>
      </c>
      <c r="I52" s="258">
        <f>T51</f>
        <v>9014820</v>
      </c>
      <c r="J52" s="258" t="s">
        <v>41</v>
      </c>
      <c r="K52" s="258" t="s">
        <v>45</v>
      </c>
      <c r="L52" s="280">
        <v>12.81</v>
      </c>
      <c r="M52" s="258" t="s">
        <v>37</v>
      </c>
      <c r="N52" s="258"/>
      <c r="O52" s="258"/>
      <c r="P52" s="258"/>
      <c r="Q52" s="258"/>
      <c r="R52" s="258"/>
      <c r="S52" s="259"/>
      <c r="T52" s="119">
        <f>ROUNDDOWN((I52*L52/100),-1)</f>
        <v>1154790</v>
      </c>
      <c r="V52" s="187"/>
      <c r="W52" s="187"/>
    </row>
    <row r="53" spans="1:24" ht="18.95" customHeight="1" x14ac:dyDescent="0.15">
      <c r="A53" s="161"/>
      <c r="B53" s="98"/>
      <c r="C53" s="80"/>
      <c r="D53" s="133"/>
      <c r="E53" s="114"/>
      <c r="F53" s="86"/>
      <c r="G53" s="126"/>
      <c r="H53" s="85" t="s">
        <v>88</v>
      </c>
      <c r="I53" s="258">
        <f>I50</f>
        <v>254296770</v>
      </c>
      <c r="J53" s="258" t="s">
        <v>41</v>
      </c>
      <c r="K53" s="258" t="s">
        <v>45</v>
      </c>
      <c r="L53" s="280">
        <v>1.35</v>
      </c>
      <c r="M53" s="258" t="s">
        <v>37</v>
      </c>
      <c r="N53" s="258"/>
      <c r="O53" s="258"/>
      <c r="P53" s="258"/>
      <c r="Q53" s="258"/>
      <c r="R53" s="258"/>
      <c r="S53" s="259"/>
      <c r="T53" s="119">
        <f>ROUNDDOWN((I53*L53/100),-1)</f>
        <v>3433000</v>
      </c>
      <c r="V53" s="187"/>
      <c r="W53" s="187"/>
      <c r="X53" s="187"/>
    </row>
    <row r="54" spans="1:24" ht="18.95" customHeight="1" x14ac:dyDescent="0.15">
      <c r="A54" s="161"/>
      <c r="B54" s="98"/>
      <c r="C54" s="173"/>
      <c r="D54" s="134"/>
      <c r="E54" s="105"/>
      <c r="F54" s="171"/>
      <c r="G54" s="172"/>
      <c r="H54" s="166" t="s">
        <v>111</v>
      </c>
      <c r="I54" s="70">
        <f>I50</f>
        <v>254296770</v>
      </c>
      <c r="J54" s="167" t="s">
        <v>41</v>
      </c>
      <c r="K54" s="167" t="s">
        <v>45</v>
      </c>
      <c r="L54" s="168">
        <v>0.76</v>
      </c>
      <c r="M54" s="70" t="s">
        <v>37</v>
      </c>
      <c r="N54" s="70"/>
      <c r="O54" s="70"/>
      <c r="P54" s="70"/>
      <c r="Q54" s="70"/>
      <c r="R54" s="70"/>
      <c r="S54" s="99"/>
      <c r="T54" s="170">
        <f>ROUNDDOWN((I54*L54/100),-1)</f>
        <v>1932650</v>
      </c>
      <c r="V54" s="187"/>
      <c r="W54" s="187"/>
    </row>
    <row r="55" spans="1:24" ht="18.95" customHeight="1" x14ac:dyDescent="0.15">
      <c r="A55" s="161"/>
      <c r="B55" s="335" t="s">
        <v>91</v>
      </c>
      <c r="C55" s="335"/>
      <c r="D55" s="66">
        <f>SUM(D56,D57)</f>
        <v>3200000</v>
      </c>
      <c r="E55" s="51">
        <f>SUM(E56:E57)</f>
        <v>3200000</v>
      </c>
      <c r="F55" s="68">
        <f t="shared" ref="F55:F61" si="11">E55-D55</f>
        <v>0</v>
      </c>
      <c r="G55" s="124">
        <f t="shared" ref="G55:G60" si="12">E55/D55*100</f>
        <v>100</v>
      </c>
      <c r="H55" s="69" t="s">
        <v>91</v>
      </c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99"/>
      <c r="T55" s="156"/>
      <c r="V55" s="184"/>
      <c r="W55" s="184"/>
      <c r="X55" s="184"/>
    </row>
    <row r="56" spans="1:24" ht="18.95" customHeight="1" x14ac:dyDescent="0.15">
      <c r="A56" s="161"/>
      <c r="B56" s="177"/>
      <c r="C56" s="173" t="s">
        <v>77</v>
      </c>
      <c r="D56" s="66">
        <v>1200000</v>
      </c>
      <c r="E56" s="51">
        <f>T56</f>
        <v>1200000</v>
      </c>
      <c r="F56" s="62">
        <f t="shared" si="11"/>
        <v>0</v>
      </c>
      <c r="G56" s="124">
        <f t="shared" si="12"/>
        <v>100</v>
      </c>
      <c r="H56" s="69" t="s">
        <v>108</v>
      </c>
      <c r="I56" s="64">
        <v>200000</v>
      </c>
      <c r="J56" s="64" t="s">
        <v>41</v>
      </c>
      <c r="K56" s="64" t="s">
        <v>45</v>
      </c>
      <c r="L56" s="64">
        <v>6</v>
      </c>
      <c r="M56" s="64" t="s">
        <v>42</v>
      </c>
      <c r="N56" s="64"/>
      <c r="O56" s="70"/>
      <c r="P56" s="70"/>
      <c r="Q56" s="70"/>
      <c r="R56" s="70"/>
      <c r="S56" s="99"/>
      <c r="T56" s="160">
        <f>I56*L56</f>
        <v>1200000</v>
      </c>
    </row>
    <row r="57" spans="1:24" ht="18.95" customHeight="1" x14ac:dyDescent="0.15">
      <c r="A57" s="161"/>
      <c r="B57" s="98"/>
      <c r="C57" s="96" t="s">
        <v>69</v>
      </c>
      <c r="D57" s="87">
        <v>2000000</v>
      </c>
      <c r="E57" s="81">
        <f>T57+T58</f>
        <v>2000000</v>
      </c>
      <c r="F57" s="78">
        <f t="shared" si="11"/>
        <v>0</v>
      </c>
      <c r="G57" s="127">
        <f t="shared" si="12"/>
        <v>100</v>
      </c>
      <c r="H57" s="69" t="s">
        <v>164</v>
      </c>
      <c r="I57" s="64">
        <v>250000</v>
      </c>
      <c r="J57" s="64" t="s">
        <v>41</v>
      </c>
      <c r="K57" s="64" t="s">
        <v>45</v>
      </c>
      <c r="L57" s="64">
        <v>4</v>
      </c>
      <c r="M57" s="64" t="s">
        <v>42</v>
      </c>
      <c r="N57" s="64"/>
      <c r="O57" s="70"/>
      <c r="P57" s="70"/>
      <c r="Q57" s="70"/>
      <c r="R57" s="70"/>
      <c r="S57" s="99"/>
      <c r="T57" s="160">
        <f>I57*L57</f>
        <v>1000000</v>
      </c>
    </row>
    <row r="58" spans="1:24" ht="18.95" customHeight="1" x14ac:dyDescent="0.15">
      <c r="A58" s="235"/>
      <c r="B58" s="262"/>
      <c r="C58" s="241"/>
      <c r="D58" s="242"/>
      <c r="E58" s="281"/>
      <c r="F58" s="243"/>
      <c r="G58" s="282"/>
      <c r="H58" s="283" t="s">
        <v>165</v>
      </c>
      <c r="I58" s="284">
        <v>250000</v>
      </c>
      <c r="J58" s="284" t="s">
        <v>41</v>
      </c>
      <c r="K58" s="284" t="s">
        <v>45</v>
      </c>
      <c r="L58" s="284">
        <v>4</v>
      </c>
      <c r="M58" s="284" t="s">
        <v>42</v>
      </c>
      <c r="N58" s="284"/>
      <c r="O58" s="164"/>
      <c r="P58" s="164"/>
      <c r="Q58" s="164"/>
      <c r="R58" s="164"/>
      <c r="S58" s="179"/>
      <c r="T58" s="285">
        <f>I58*L58</f>
        <v>1000000</v>
      </c>
    </row>
    <row r="59" spans="1:24" ht="18.95" customHeight="1" x14ac:dyDescent="0.15">
      <c r="A59" s="267"/>
      <c r="B59" s="348" t="s">
        <v>54</v>
      </c>
      <c r="C59" s="348"/>
      <c r="D59" s="286">
        <f>D60+D61+D68+D76+D79</f>
        <v>56034000</v>
      </c>
      <c r="E59" s="286">
        <f>SUM(E60:E79)</f>
        <v>56034000</v>
      </c>
      <c r="F59" s="287">
        <f t="shared" si="11"/>
        <v>0</v>
      </c>
      <c r="G59" s="288">
        <f t="shared" si="12"/>
        <v>100</v>
      </c>
      <c r="H59" s="289" t="s">
        <v>54</v>
      </c>
      <c r="I59" s="290"/>
      <c r="J59" s="290"/>
      <c r="K59" s="290"/>
      <c r="L59" s="290"/>
      <c r="M59" s="290"/>
      <c r="N59" s="290"/>
      <c r="O59" s="290"/>
      <c r="P59" s="290"/>
      <c r="Q59" s="290"/>
      <c r="R59" s="290"/>
      <c r="S59" s="291"/>
      <c r="T59" s="256"/>
    </row>
    <row r="60" spans="1:24" ht="18.95" customHeight="1" x14ac:dyDescent="0.15">
      <c r="A60" s="161"/>
      <c r="B60" s="77"/>
      <c r="C60" s="80" t="s">
        <v>60</v>
      </c>
      <c r="D60" s="88">
        <v>800000</v>
      </c>
      <c r="E60" s="51">
        <f>T60</f>
        <v>800000</v>
      </c>
      <c r="F60" s="78">
        <f t="shared" si="11"/>
        <v>0</v>
      </c>
      <c r="G60" s="127">
        <f t="shared" si="12"/>
        <v>100</v>
      </c>
      <c r="H60" s="85" t="s">
        <v>60</v>
      </c>
      <c r="I60" s="82">
        <v>200000</v>
      </c>
      <c r="J60" s="82" t="s">
        <v>41</v>
      </c>
      <c r="K60" s="82" t="s">
        <v>45</v>
      </c>
      <c r="L60" s="82">
        <v>4</v>
      </c>
      <c r="M60" s="82" t="s">
        <v>42</v>
      </c>
      <c r="N60" s="82"/>
      <c r="O60" s="258"/>
      <c r="P60" s="258"/>
      <c r="Q60" s="258"/>
      <c r="R60" s="258"/>
      <c r="S60" s="259"/>
      <c r="T60" s="119">
        <f t="shared" ref="T60:T66" si="13">I60*L60</f>
        <v>800000</v>
      </c>
    </row>
    <row r="61" spans="1:24" ht="18.95" customHeight="1" x14ac:dyDescent="0.15">
      <c r="A61" s="161"/>
      <c r="B61" s="77"/>
      <c r="C61" s="96" t="s">
        <v>34</v>
      </c>
      <c r="D61" s="139">
        <v>24154000</v>
      </c>
      <c r="E61" s="81">
        <f>SUM(T62:T67)</f>
        <v>24154000</v>
      </c>
      <c r="F61" s="78">
        <f t="shared" si="11"/>
        <v>0</v>
      </c>
      <c r="G61" s="128">
        <f>E61/D61*100</f>
        <v>100</v>
      </c>
      <c r="H61" s="79" t="s">
        <v>34</v>
      </c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151"/>
      <c r="T61" s="159"/>
    </row>
    <row r="62" spans="1:24" ht="18.95" customHeight="1" x14ac:dyDescent="0.15">
      <c r="A62" s="161"/>
      <c r="B62" s="77"/>
      <c r="C62" s="80"/>
      <c r="D62" s="136"/>
      <c r="F62" s="86"/>
      <c r="G62" s="126"/>
      <c r="H62" s="85" t="s">
        <v>87</v>
      </c>
      <c r="I62" s="258">
        <v>200000</v>
      </c>
      <c r="J62" s="258" t="s">
        <v>41</v>
      </c>
      <c r="K62" s="258" t="s">
        <v>45</v>
      </c>
      <c r="L62" s="258">
        <v>8</v>
      </c>
      <c r="M62" s="258" t="s">
        <v>42</v>
      </c>
      <c r="N62" s="258"/>
      <c r="O62" s="258"/>
      <c r="P62" s="258"/>
      <c r="Q62" s="258"/>
      <c r="R62" s="258"/>
      <c r="S62" s="259"/>
      <c r="T62" s="119">
        <f t="shared" si="13"/>
        <v>1600000</v>
      </c>
    </row>
    <row r="63" spans="1:24" ht="18.95" customHeight="1" x14ac:dyDescent="0.15">
      <c r="A63" s="161"/>
      <c r="B63" s="77"/>
      <c r="C63" s="80"/>
      <c r="D63" s="136"/>
      <c r="F63" s="86"/>
      <c r="G63" s="126"/>
      <c r="H63" s="85" t="s">
        <v>99</v>
      </c>
      <c r="I63" s="258">
        <v>250000</v>
      </c>
      <c r="J63" s="258" t="s">
        <v>41</v>
      </c>
      <c r="K63" s="258" t="s">
        <v>45</v>
      </c>
      <c r="L63" s="258">
        <v>12</v>
      </c>
      <c r="M63" s="258" t="s">
        <v>42</v>
      </c>
      <c r="N63" s="258"/>
      <c r="O63" s="258"/>
      <c r="P63" s="258"/>
      <c r="Q63" s="258"/>
      <c r="R63" s="258"/>
      <c r="S63" s="259"/>
      <c r="T63" s="119">
        <f t="shared" si="13"/>
        <v>3000000</v>
      </c>
    </row>
    <row r="64" spans="1:24" ht="18.95" customHeight="1" x14ac:dyDescent="0.15">
      <c r="A64" s="161"/>
      <c r="B64" s="77"/>
      <c r="C64" s="80"/>
      <c r="D64" s="136"/>
      <c r="F64" s="86"/>
      <c r="G64" s="126"/>
      <c r="H64" s="85" t="s">
        <v>137</v>
      </c>
      <c r="I64" s="258">
        <v>84600</v>
      </c>
      <c r="J64" s="258" t="s">
        <v>41</v>
      </c>
      <c r="K64" s="258" t="s">
        <v>45</v>
      </c>
      <c r="L64" s="258">
        <v>12</v>
      </c>
      <c r="M64" s="258" t="s">
        <v>42</v>
      </c>
      <c r="N64" s="258"/>
      <c r="O64" s="258"/>
      <c r="P64" s="258"/>
      <c r="Q64" s="258"/>
      <c r="R64" s="258"/>
      <c r="S64" s="259"/>
      <c r="T64" s="119">
        <f>I64*L64</f>
        <v>1015200</v>
      </c>
    </row>
    <row r="65" spans="1:22" ht="18.95" customHeight="1" x14ac:dyDescent="0.15">
      <c r="A65" s="161"/>
      <c r="B65" s="77"/>
      <c r="C65" s="80"/>
      <c r="D65" s="136"/>
      <c r="F65" s="86"/>
      <c r="G65" s="126"/>
      <c r="H65" s="85" t="s">
        <v>138</v>
      </c>
      <c r="I65" s="258">
        <v>44900</v>
      </c>
      <c r="J65" s="258" t="s">
        <v>41</v>
      </c>
      <c r="K65" s="258" t="s">
        <v>45</v>
      </c>
      <c r="L65" s="258">
        <v>12</v>
      </c>
      <c r="M65" s="258" t="s">
        <v>42</v>
      </c>
      <c r="N65" s="258"/>
      <c r="O65" s="258"/>
      <c r="P65" s="258"/>
      <c r="Q65" s="258"/>
      <c r="R65" s="258"/>
      <c r="S65" s="259"/>
      <c r="T65" s="119">
        <f t="shared" si="13"/>
        <v>538800</v>
      </c>
    </row>
    <row r="66" spans="1:22" ht="18.95" customHeight="1" x14ac:dyDescent="0.15">
      <c r="A66" s="161"/>
      <c r="B66" s="77"/>
      <c r="C66" s="80"/>
      <c r="D66" s="136"/>
      <c r="F66" s="86"/>
      <c r="G66" s="126"/>
      <c r="H66" s="85" t="s">
        <v>90</v>
      </c>
      <c r="I66" s="258">
        <v>500000</v>
      </c>
      <c r="J66" s="258" t="s">
        <v>41</v>
      </c>
      <c r="K66" s="258" t="s">
        <v>45</v>
      </c>
      <c r="L66" s="258">
        <v>12</v>
      </c>
      <c r="M66" s="258" t="s">
        <v>42</v>
      </c>
      <c r="N66" s="258"/>
      <c r="O66" s="258"/>
      <c r="P66" s="258"/>
      <c r="Q66" s="258"/>
      <c r="R66" s="258"/>
      <c r="S66" s="259"/>
      <c r="T66" s="119">
        <f t="shared" si="13"/>
        <v>6000000</v>
      </c>
    </row>
    <row r="67" spans="1:22" ht="18.95" customHeight="1" x14ac:dyDescent="0.15">
      <c r="A67" s="161"/>
      <c r="B67" s="80"/>
      <c r="C67" s="200"/>
      <c r="D67" s="137"/>
      <c r="F67" s="86"/>
      <c r="G67" s="130"/>
      <c r="H67" s="85" t="s">
        <v>131</v>
      </c>
      <c r="I67" s="258">
        <v>1000000</v>
      </c>
      <c r="J67" s="70" t="s">
        <v>41</v>
      </c>
      <c r="K67" s="70" t="s">
        <v>45</v>
      </c>
      <c r="L67" s="70">
        <v>12</v>
      </c>
      <c r="M67" s="70" t="s">
        <v>42</v>
      </c>
      <c r="N67" s="70"/>
      <c r="O67" s="70"/>
      <c r="P67" s="70"/>
      <c r="Q67" s="70"/>
      <c r="R67" s="70"/>
      <c r="S67" s="99"/>
      <c r="T67" s="120">
        <f>I67*L67</f>
        <v>12000000</v>
      </c>
      <c r="V67" s="184"/>
    </row>
    <row r="68" spans="1:22" ht="18.95" customHeight="1" x14ac:dyDescent="0.15">
      <c r="A68" s="161"/>
      <c r="B68" s="80"/>
      <c r="C68" s="80" t="s">
        <v>126</v>
      </c>
      <c r="D68" s="140">
        <v>13580000</v>
      </c>
      <c r="E68" s="81">
        <f>SUM(T69:T75)</f>
        <v>13580000</v>
      </c>
      <c r="F68" s="78">
        <f>E68-D68</f>
        <v>0</v>
      </c>
      <c r="G68" s="129">
        <f t="shared" ref="G68:G110" si="14">E68/D68*100</f>
        <v>100</v>
      </c>
      <c r="H68" s="79" t="s">
        <v>103</v>
      </c>
      <c r="I68" s="82"/>
      <c r="J68" s="258"/>
      <c r="K68" s="258"/>
      <c r="L68" s="258"/>
      <c r="M68" s="258"/>
      <c r="N68" s="258"/>
      <c r="O68" s="258"/>
      <c r="P68" s="258"/>
      <c r="Q68" s="258"/>
      <c r="R68" s="258"/>
      <c r="S68" s="259"/>
      <c r="T68" s="118"/>
    </row>
    <row r="69" spans="1:22" ht="18.95" customHeight="1" x14ac:dyDescent="0.15">
      <c r="A69" s="161"/>
      <c r="B69" s="77"/>
      <c r="C69" s="80"/>
      <c r="D69" s="136"/>
      <c r="F69" s="86"/>
      <c r="G69" s="129"/>
      <c r="H69" s="85" t="s">
        <v>125</v>
      </c>
      <c r="I69" s="258">
        <v>15000</v>
      </c>
      <c r="J69" s="258" t="s">
        <v>41</v>
      </c>
      <c r="K69" s="258" t="s">
        <v>45</v>
      </c>
      <c r="L69" s="258">
        <v>12</v>
      </c>
      <c r="M69" s="258" t="s">
        <v>42</v>
      </c>
      <c r="N69" s="258"/>
      <c r="O69" s="258"/>
      <c r="P69" s="258"/>
      <c r="Q69" s="258"/>
      <c r="R69" s="258"/>
      <c r="S69" s="259"/>
      <c r="T69" s="119">
        <f t="shared" ref="T69:T75" si="15">I69*L69</f>
        <v>180000</v>
      </c>
    </row>
    <row r="70" spans="1:22" ht="18.95" customHeight="1" x14ac:dyDescent="0.15">
      <c r="A70" s="161"/>
      <c r="B70" s="77"/>
      <c r="C70" s="80"/>
      <c r="D70" s="136"/>
      <c r="F70" s="86"/>
      <c r="G70" s="129"/>
      <c r="H70" s="85" t="s">
        <v>122</v>
      </c>
      <c r="I70" s="258">
        <v>500000</v>
      </c>
      <c r="J70" s="258" t="s">
        <v>41</v>
      </c>
      <c r="K70" s="258" t="s">
        <v>45</v>
      </c>
      <c r="L70" s="258">
        <v>12</v>
      </c>
      <c r="M70" s="258" t="s">
        <v>42</v>
      </c>
      <c r="N70" s="258"/>
      <c r="O70" s="258"/>
      <c r="P70" s="258"/>
      <c r="Q70" s="258"/>
      <c r="R70" s="258"/>
      <c r="S70" s="259"/>
      <c r="T70" s="119">
        <f t="shared" si="15"/>
        <v>6000000</v>
      </c>
    </row>
    <row r="71" spans="1:22" ht="18.95" customHeight="1" x14ac:dyDescent="0.15">
      <c r="A71" s="161"/>
      <c r="B71" s="77"/>
      <c r="C71" s="80"/>
      <c r="D71" s="136"/>
      <c r="F71" s="86"/>
      <c r="G71" s="129"/>
      <c r="H71" s="85" t="s">
        <v>74</v>
      </c>
      <c r="I71" s="258">
        <v>200000</v>
      </c>
      <c r="J71" s="258" t="s">
        <v>41</v>
      </c>
      <c r="K71" s="258" t="s">
        <v>45</v>
      </c>
      <c r="L71" s="258">
        <v>4</v>
      </c>
      <c r="M71" s="258" t="s">
        <v>42</v>
      </c>
      <c r="N71" s="258"/>
      <c r="O71" s="258"/>
      <c r="P71" s="258"/>
      <c r="Q71" s="258"/>
      <c r="R71" s="258"/>
      <c r="S71" s="259"/>
      <c r="T71" s="119">
        <f t="shared" si="15"/>
        <v>800000</v>
      </c>
    </row>
    <row r="72" spans="1:22" ht="18.95" customHeight="1" x14ac:dyDescent="0.15">
      <c r="A72" s="161"/>
      <c r="B72" s="292"/>
      <c r="C72" s="80"/>
      <c r="D72" s="136"/>
      <c r="F72" s="86"/>
      <c r="G72" s="129"/>
      <c r="H72" s="85" t="s">
        <v>23</v>
      </c>
      <c r="I72" s="258">
        <v>100000</v>
      </c>
      <c r="J72" s="258" t="s">
        <v>41</v>
      </c>
      <c r="K72" s="258" t="s">
        <v>45</v>
      </c>
      <c r="L72" s="258">
        <v>4</v>
      </c>
      <c r="M72" s="258" t="s">
        <v>42</v>
      </c>
      <c r="N72" s="258"/>
      <c r="O72" s="258"/>
      <c r="P72" s="258"/>
      <c r="Q72" s="258"/>
      <c r="R72" s="258"/>
      <c r="S72" s="259"/>
      <c r="T72" s="119">
        <f>I72*L72</f>
        <v>400000</v>
      </c>
    </row>
    <row r="73" spans="1:22" ht="18.95" customHeight="1" x14ac:dyDescent="0.15">
      <c r="A73" s="161"/>
      <c r="B73" s="292"/>
      <c r="C73" s="80"/>
      <c r="D73" s="136"/>
      <c r="F73" s="86"/>
      <c r="G73" s="129"/>
      <c r="H73" s="85" t="s">
        <v>29</v>
      </c>
      <c r="I73" s="258">
        <v>250000</v>
      </c>
      <c r="J73" s="258" t="s">
        <v>41</v>
      </c>
      <c r="K73" s="258" t="s">
        <v>45</v>
      </c>
      <c r="L73" s="258">
        <v>4</v>
      </c>
      <c r="M73" s="258" t="s">
        <v>42</v>
      </c>
      <c r="N73" s="258"/>
      <c r="O73" s="258"/>
      <c r="P73" s="258"/>
      <c r="Q73" s="258"/>
      <c r="R73" s="258"/>
      <c r="S73" s="259"/>
      <c r="T73" s="119">
        <f t="shared" si="15"/>
        <v>1000000</v>
      </c>
    </row>
    <row r="74" spans="1:22" ht="18.95" customHeight="1" x14ac:dyDescent="0.15">
      <c r="A74" s="161"/>
      <c r="B74" s="292"/>
      <c r="C74" s="80"/>
      <c r="D74" s="136"/>
      <c r="F74" s="86"/>
      <c r="G74" s="129"/>
      <c r="H74" s="85" t="s">
        <v>24</v>
      </c>
      <c r="I74" s="258">
        <v>200000</v>
      </c>
      <c r="J74" s="258" t="s">
        <v>41</v>
      </c>
      <c r="K74" s="258" t="s">
        <v>45</v>
      </c>
      <c r="L74" s="258">
        <v>1</v>
      </c>
      <c r="M74" s="258" t="s">
        <v>42</v>
      </c>
      <c r="N74" s="258"/>
      <c r="O74" s="258"/>
      <c r="P74" s="258"/>
      <c r="Q74" s="258"/>
      <c r="R74" s="258"/>
      <c r="S74" s="259"/>
      <c r="T74" s="119">
        <f t="shared" si="15"/>
        <v>200000</v>
      </c>
    </row>
    <row r="75" spans="1:22" ht="18.95" customHeight="1" x14ac:dyDescent="0.15">
      <c r="A75" s="161"/>
      <c r="B75" s="177"/>
      <c r="C75" s="173"/>
      <c r="D75" s="137"/>
      <c r="E75" s="149"/>
      <c r="F75" s="68"/>
      <c r="G75" s="130"/>
      <c r="H75" s="69" t="s">
        <v>105</v>
      </c>
      <c r="I75" s="70">
        <v>5000000</v>
      </c>
      <c r="J75" s="70" t="s">
        <v>41</v>
      </c>
      <c r="K75" s="70" t="s">
        <v>45</v>
      </c>
      <c r="L75" s="70">
        <v>1</v>
      </c>
      <c r="M75" s="70" t="s">
        <v>42</v>
      </c>
      <c r="N75" s="70"/>
      <c r="O75" s="70"/>
      <c r="P75" s="70"/>
      <c r="Q75" s="70"/>
      <c r="R75" s="70"/>
      <c r="S75" s="99"/>
      <c r="T75" s="120">
        <f t="shared" si="15"/>
        <v>5000000</v>
      </c>
    </row>
    <row r="76" spans="1:22" ht="18.95" customHeight="1" x14ac:dyDescent="0.15">
      <c r="A76" s="161"/>
      <c r="B76" s="177"/>
      <c r="C76" s="80" t="s">
        <v>44</v>
      </c>
      <c r="D76" s="140">
        <v>9400000</v>
      </c>
      <c r="E76" s="148">
        <f>SUM(T77:T78)</f>
        <v>9400000</v>
      </c>
      <c r="F76" s="86">
        <f>E76-D76</f>
        <v>0</v>
      </c>
      <c r="G76" s="126">
        <f t="shared" si="14"/>
        <v>100</v>
      </c>
      <c r="H76" s="85" t="s">
        <v>44</v>
      </c>
      <c r="I76" s="258"/>
      <c r="J76" s="258"/>
      <c r="K76" s="258"/>
      <c r="L76" s="258"/>
      <c r="M76" s="258"/>
      <c r="N76" s="258"/>
      <c r="O76" s="258"/>
      <c r="P76" s="258"/>
      <c r="Q76" s="258"/>
      <c r="R76" s="258"/>
      <c r="S76" s="259"/>
      <c r="T76" s="118"/>
    </row>
    <row r="77" spans="1:22" ht="18.95" customHeight="1" x14ac:dyDescent="0.15">
      <c r="A77" s="161"/>
      <c r="B77" s="98"/>
      <c r="C77" s="80"/>
      <c r="D77" s="136"/>
      <c r="F77" s="86"/>
      <c r="G77" s="129"/>
      <c r="H77" s="85" t="s">
        <v>79</v>
      </c>
      <c r="I77" s="258">
        <v>200000</v>
      </c>
      <c r="J77" s="258" t="s">
        <v>41</v>
      </c>
      <c r="K77" s="258" t="s">
        <v>45</v>
      </c>
      <c r="L77" s="258">
        <v>3</v>
      </c>
      <c r="M77" s="258" t="s">
        <v>42</v>
      </c>
      <c r="N77" s="258" t="s">
        <v>45</v>
      </c>
      <c r="O77" s="258">
        <v>12</v>
      </c>
      <c r="P77" s="259" t="s">
        <v>67</v>
      </c>
      <c r="Q77" s="258"/>
      <c r="R77" s="258"/>
      <c r="S77" s="259"/>
      <c r="T77" s="119">
        <f>I77*L77*O77</f>
        <v>7200000</v>
      </c>
    </row>
    <row r="78" spans="1:22" ht="18.95" customHeight="1" x14ac:dyDescent="0.15">
      <c r="A78" s="161"/>
      <c r="B78" s="98"/>
      <c r="C78" s="173"/>
      <c r="D78" s="137"/>
      <c r="E78" s="149"/>
      <c r="F78" s="68"/>
      <c r="G78" s="130"/>
      <c r="H78" s="69" t="s">
        <v>115</v>
      </c>
      <c r="I78" s="70">
        <v>550000</v>
      </c>
      <c r="J78" s="70" t="s">
        <v>41</v>
      </c>
      <c r="K78" s="70" t="s">
        <v>45</v>
      </c>
      <c r="L78" s="70">
        <v>4</v>
      </c>
      <c r="M78" s="70" t="s">
        <v>42</v>
      </c>
      <c r="N78" s="70"/>
      <c r="O78" s="70"/>
      <c r="P78" s="70"/>
      <c r="Q78" s="70"/>
      <c r="R78" s="70"/>
      <c r="S78" s="99"/>
      <c r="T78" s="120">
        <f>I78*L78</f>
        <v>2200000</v>
      </c>
    </row>
    <row r="79" spans="1:22" ht="20.100000000000001" customHeight="1" x14ac:dyDescent="0.15">
      <c r="A79" s="161"/>
      <c r="B79" s="98"/>
      <c r="C79" s="80" t="s">
        <v>100</v>
      </c>
      <c r="D79" s="140">
        <v>8100000</v>
      </c>
      <c r="E79" s="148">
        <f>SUM(T80:T83)</f>
        <v>8100000</v>
      </c>
      <c r="F79" s="86">
        <f>E79-D79</f>
        <v>0</v>
      </c>
      <c r="G79" s="126">
        <f t="shared" si="14"/>
        <v>100</v>
      </c>
      <c r="H79" s="85" t="s">
        <v>100</v>
      </c>
      <c r="I79" s="258"/>
      <c r="J79" s="258"/>
      <c r="K79" s="258"/>
      <c r="L79" s="258"/>
      <c r="M79" s="258"/>
      <c r="N79" s="258"/>
      <c r="O79" s="258"/>
      <c r="P79" s="258"/>
      <c r="Q79" s="258"/>
      <c r="R79" s="258"/>
      <c r="S79" s="259"/>
      <c r="T79" s="118"/>
    </row>
    <row r="80" spans="1:22" ht="20.100000000000001" customHeight="1" x14ac:dyDescent="0.15">
      <c r="A80" s="161"/>
      <c r="B80" s="98"/>
      <c r="C80" s="80"/>
      <c r="D80" s="140"/>
      <c r="E80" s="293"/>
      <c r="F80" s="86"/>
      <c r="G80" s="126"/>
      <c r="H80" s="85" t="s">
        <v>219</v>
      </c>
      <c r="I80" s="258">
        <v>200000</v>
      </c>
      <c r="J80" s="258" t="s">
        <v>41</v>
      </c>
      <c r="K80" s="258" t="s">
        <v>45</v>
      </c>
      <c r="L80" s="258">
        <v>4</v>
      </c>
      <c r="M80" s="258" t="s">
        <v>42</v>
      </c>
      <c r="N80" s="258"/>
      <c r="O80" s="258"/>
      <c r="P80" s="259"/>
      <c r="Q80" s="258"/>
      <c r="R80" s="258"/>
      <c r="S80" s="259"/>
      <c r="T80" s="119">
        <f>I80*L80</f>
        <v>800000</v>
      </c>
    </row>
    <row r="81" spans="1:20" ht="20.100000000000001" customHeight="1" x14ac:dyDescent="0.15">
      <c r="A81" s="161"/>
      <c r="B81" s="98"/>
      <c r="C81" s="80"/>
      <c r="D81" s="136"/>
      <c r="F81" s="86"/>
      <c r="G81" s="129"/>
      <c r="H81" s="85" t="s">
        <v>118</v>
      </c>
      <c r="I81" s="258">
        <v>100000</v>
      </c>
      <c r="J81" s="258" t="s">
        <v>41</v>
      </c>
      <c r="K81" s="258" t="s">
        <v>45</v>
      </c>
      <c r="L81" s="258">
        <v>1</v>
      </c>
      <c r="M81" s="258" t="s">
        <v>42</v>
      </c>
      <c r="N81" s="258" t="s">
        <v>45</v>
      </c>
      <c r="O81" s="258">
        <v>4</v>
      </c>
      <c r="P81" s="259" t="s">
        <v>64</v>
      </c>
      <c r="Q81" s="258"/>
      <c r="R81" s="258"/>
      <c r="S81" s="259"/>
      <c r="T81" s="119">
        <f>I81*L81*O81</f>
        <v>400000</v>
      </c>
    </row>
    <row r="82" spans="1:20" ht="20.100000000000001" customHeight="1" x14ac:dyDescent="0.15">
      <c r="A82" s="161"/>
      <c r="B82" s="98"/>
      <c r="C82" s="80"/>
      <c r="D82" s="136"/>
      <c r="F82" s="86"/>
      <c r="G82" s="129"/>
      <c r="H82" s="85" t="s">
        <v>113</v>
      </c>
      <c r="I82" s="258">
        <v>50000</v>
      </c>
      <c r="J82" s="258" t="s">
        <v>41</v>
      </c>
      <c r="K82" s="258" t="s">
        <v>45</v>
      </c>
      <c r="L82" s="258">
        <v>12</v>
      </c>
      <c r="M82" s="258" t="s">
        <v>67</v>
      </c>
      <c r="N82" s="258" t="s">
        <v>45</v>
      </c>
      <c r="O82" s="258">
        <v>9</v>
      </c>
      <c r="P82" s="259" t="s">
        <v>64</v>
      </c>
      <c r="Q82" s="258"/>
      <c r="R82" s="258"/>
      <c r="S82" s="259"/>
      <c r="T82" s="119">
        <f>I82*L82*O82</f>
        <v>5400000</v>
      </c>
    </row>
    <row r="83" spans="1:20" ht="20.100000000000001" customHeight="1" x14ac:dyDescent="0.15">
      <c r="A83" s="162"/>
      <c r="B83" s="178"/>
      <c r="C83" s="173"/>
      <c r="D83" s="137"/>
      <c r="E83" s="149"/>
      <c r="F83" s="68"/>
      <c r="G83" s="130"/>
      <c r="H83" s="69" t="s">
        <v>195</v>
      </c>
      <c r="I83" s="70">
        <v>250000</v>
      </c>
      <c r="J83" s="70" t="s">
        <v>41</v>
      </c>
      <c r="K83" s="70" t="s">
        <v>45</v>
      </c>
      <c r="L83" s="70">
        <v>6</v>
      </c>
      <c r="M83" s="70" t="s">
        <v>42</v>
      </c>
      <c r="N83" s="70"/>
      <c r="O83" s="70"/>
      <c r="P83" s="70"/>
      <c r="Q83" s="70"/>
      <c r="R83" s="70"/>
      <c r="S83" s="99"/>
      <c r="T83" s="120">
        <f>I83*L83</f>
        <v>1500000</v>
      </c>
    </row>
    <row r="84" spans="1:20" ht="20.100000000000001" customHeight="1" x14ac:dyDescent="0.15">
      <c r="A84" s="337" t="s">
        <v>72</v>
      </c>
      <c r="B84" s="346"/>
      <c r="C84" s="346"/>
      <c r="D84" s="71">
        <f>D85</f>
        <v>8100000</v>
      </c>
      <c r="E84" s="71">
        <f>E85</f>
        <v>8100000</v>
      </c>
      <c r="F84" s="57">
        <f t="shared" ref="F84:F96" si="16">E84-D84</f>
        <v>0</v>
      </c>
      <c r="G84" s="122">
        <f t="shared" si="14"/>
        <v>100</v>
      </c>
      <c r="H84" s="69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99"/>
      <c r="T84" s="156"/>
    </row>
    <row r="85" spans="1:20" ht="20.100000000000001" customHeight="1" x14ac:dyDescent="0.15">
      <c r="A85" s="161"/>
      <c r="B85" s="335" t="s">
        <v>49</v>
      </c>
      <c r="C85" s="335"/>
      <c r="D85" s="146">
        <f>SUM(D86:D88)</f>
        <v>8100000</v>
      </c>
      <c r="E85" s="67">
        <f>SUM(E86:E88)</f>
        <v>8100000</v>
      </c>
      <c r="F85" s="62">
        <f t="shared" si="16"/>
        <v>0</v>
      </c>
      <c r="G85" s="124">
        <f t="shared" si="14"/>
        <v>100</v>
      </c>
      <c r="H85" s="69"/>
      <c r="I85" s="70"/>
      <c r="J85" s="64"/>
      <c r="K85" s="64"/>
      <c r="L85" s="64"/>
      <c r="M85" s="64"/>
      <c r="N85" s="64"/>
      <c r="O85" s="70"/>
      <c r="P85" s="70"/>
      <c r="Q85" s="70"/>
      <c r="R85" s="70"/>
      <c r="S85" s="99"/>
      <c r="T85" s="115"/>
    </row>
    <row r="86" spans="1:20" ht="20.100000000000001" customHeight="1" x14ac:dyDescent="0.15">
      <c r="A86" s="161"/>
      <c r="B86" s="177"/>
      <c r="C86" s="173" t="s">
        <v>49</v>
      </c>
      <c r="D86" s="146">
        <v>500000</v>
      </c>
      <c r="E86" s="67">
        <f>T86</f>
        <v>500000</v>
      </c>
      <c r="F86" s="62">
        <f t="shared" si="16"/>
        <v>0</v>
      </c>
      <c r="G86" s="124">
        <f t="shared" si="14"/>
        <v>100</v>
      </c>
      <c r="H86" s="69" t="s">
        <v>49</v>
      </c>
      <c r="I86" s="64">
        <v>250000</v>
      </c>
      <c r="J86" s="64" t="s">
        <v>41</v>
      </c>
      <c r="K86" s="258" t="s">
        <v>45</v>
      </c>
      <c r="L86" s="64">
        <v>2</v>
      </c>
      <c r="M86" s="64" t="s">
        <v>42</v>
      </c>
      <c r="N86" s="64"/>
      <c r="O86" s="70"/>
      <c r="P86" s="70"/>
      <c r="Q86" s="70"/>
      <c r="R86" s="70"/>
      <c r="S86" s="99"/>
      <c r="T86" s="115">
        <f>I86*L86</f>
        <v>500000</v>
      </c>
    </row>
    <row r="87" spans="1:20" ht="20.100000000000001" customHeight="1" x14ac:dyDescent="0.15">
      <c r="A87" s="161"/>
      <c r="B87" s="98"/>
      <c r="C87" s="175" t="s">
        <v>78</v>
      </c>
      <c r="D87" s="145">
        <v>6000000</v>
      </c>
      <c r="E87" s="67">
        <f>T87</f>
        <v>6000000</v>
      </c>
      <c r="F87" s="62">
        <f t="shared" si="16"/>
        <v>0</v>
      </c>
      <c r="G87" s="124">
        <f t="shared" si="14"/>
        <v>100</v>
      </c>
      <c r="H87" s="69" t="s">
        <v>78</v>
      </c>
      <c r="I87" s="64">
        <v>500000</v>
      </c>
      <c r="J87" s="64" t="s">
        <v>41</v>
      </c>
      <c r="K87" s="64" t="s">
        <v>45</v>
      </c>
      <c r="L87" s="64">
        <v>12</v>
      </c>
      <c r="M87" s="64" t="s">
        <v>42</v>
      </c>
      <c r="N87" s="64"/>
      <c r="O87" s="70"/>
      <c r="P87" s="70"/>
      <c r="Q87" s="70"/>
      <c r="R87" s="70"/>
      <c r="S87" s="99"/>
      <c r="T87" s="115">
        <f>I87*L87</f>
        <v>6000000</v>
      </c>
    </row>
    <row r="88" spans="1:20" ht="20.100000000000001" customHeight="1" x14ac:dyDescent="0.15">
      <c r="A88" s="235"/>
      <c r="B88" s="262"/>
      <c r="C88" s="294" t="s">
        <v>96</v>
      </c>
      <c r="D88" s="295">
        <v>1600000</v>
      </c>
      <c r="E88" s="281">
        <f>T88</f>
        <v>1600000</v>
      </c>
      <c r="F88" s="296">
        <f t="shared" si="16"/>
        <v>0</v>
      </c>
      <c r="G88" s="297">
        <f t="shared" si="14"/>
        <v>100</v>
      </c>
      <c r="H88" s="283" t="s">
        <v>96</v>
      </c>
      <c r="I88" s="284">
        <v>800000</v>
      </c>
      <c r="J88" s="284" t="s">
        <v>41</v>
      </c>
      <c r="K88" s="164" t="s">
        <v>45</v>
      </c>
      <c r="L88" s="284">
        <v>2</v>
      </c>
      <c r="M88" s="284" t="s">
        <v>42</v>
      </c>
      <c r="N88" s="284"/>
      <c r="O88" s="164"/>
      <c r="P88" s="164"/>
      <c r="Q88" s="164"/>
      <c r="R88" s="164"/>
      <c r="S88" s="179"/>
      <c r="T88" s="298">
        <f>I88*L88</f>
        <v>1600000</v>
      </c>
    </row>
    <row r="89" spans="1:20" ht="20.100000000000001" customHeight="1" x14ac:dyDescent="0.15">
      <c r="A89" s="347" t="s">
        <v>53</v>
      </c>
      <c r="B89" s="347"/>
      <c r="C89" s="347"/>
      <c r="D89" s="249">
        <f>SUM(D90,D95)</f>
        <v>52220000</v>
      </c>
      <c r="E89" s="250">
        <f>E90+E95</f>
        <v>52220000</v>
      </c>
      <c r="F89" s="251">
        <f t="shared" si="16"/>
        <v>0</v>
      </c>
      <c r="G89" s="299">
        <f t="shared" si="14"/>
        <v>100</v>
      </c>
      <c r="H89" s="289"/>
      <c r="I89" s="290"/>
      <c r="J89" s="290"/>
      <c r="K89" s="290"/>
      <c r="L89" s="290"/>
      <c r="M89" s="290"/>
      <c r="N89" s="290"/>
      <c r="O89" s="290"/>
      <c r="P89" s="290"/>
      <c r="Q89" s="290"/>
      <c r="R89" s="290"/>
      <c r="S89" s="291"/>
      <c r="T89" s="256"/>
    </row>
    <row r="90" spans="1:20" ht="20.100000000000001" customHeight="1" x14ac:dyDescent="0.15">
      <c r="A90" s="161"/>
      <c r="B90" s="335" t="s">
        <v>54</v>
      </c>
      <c r="C90" s="335"/>
      <c r="D90" s="67">
        <f>SUM(D91:D94)</f>
        <v>37200000</v>
      </c>
      <c r="E90" s="67">
        <f>SUM(E91:E94)</f>
        <v>37200000</v>
      </c>
      <c r="F90" s="62">
        <f t="shared" si="16"/>
        <v>0</v>
      </c>
      <c r="G90" s="124">
        <f t="shared" si="14"/>
        <v>100</v>
      </c>
      <c r="H90" s="69"/>
      <c r="I90" s="64"/>
      <c r="J90" s="64"/>
      <c r="K90" s="64"/>
      <c r="L90" s="64"/>
      <c r="M90" s="64"/>
      <c r="N90" s="64"/>
      <c r="O90" s="70"/>
      <c r="P90" s="70"/>
      <c r="Q90" s="70"/>
      <c r="R90" s="70"/>
      <c r="S90" s="99"/>
      <c r="T90" s="115"/>
    </row>
    <row r="91" spans="1:20" ht="20.100000000000001" customHeight="1" x14ac:dyDescent="0.15">
      <c r="A91" s="161"/>
      <c r="B91" s="80"/>
      <c r="C91" s="80" t="s">
        <v>59</v>
      </c>
      <c r="D91" s="66">
        <v>28800000</v>
      </c>
      <c r="E91" s="67">
        <f>T91</f>
        <v>28800000</v>
      </c>
      <c r="F91" s="62">
        <f t="shared" si="16"/>
        <v>0</v>
      </c>
      <c r="G91" s="124">
        <f t="shared" si="14"/>
        <v>100</v>
      </c>
      <c r="H91" s="69" t="s">
        <v>82</v>
      </c>
      <c r="I91" s="64">
        <v>2400000</v>
      </c>
      <c r="J91" s="64" t="s">
        <v>41</v>
      </c>
      <c r="K91" s="64" t="s">
        <v>45</v>
      </c>
      <c r="L91" s="64">
        <v>12</v>
      </c>
      <c r="M91" s="64" t="s">
        <v>67</v>
      </c>
      <c r="N91" s="64"/>
      <c r="O91" s="70"/>
      <c r="P91" s="70"/>
      <c r="Q91" s="70"/>
      <c r="R91" s="70"/>
      <c r="S91" s="99"/>
      <c r="T91" s="115">
        <f>I91*L91</f>
        <v>28800000</v>
      </c>
    </row>
    <row r="92" spans="1:20" ht="20.100000000000001" customHeight="1" x14ac:dyDescent="0.15">
      <c r="A92" s="161"/>
      <c r="B92" s="80"/>
      <c r="C92" s="96" t="s">
        <v>120</v>
      </c>
      <c r="D92" s="66">
        <v>4800000</v>
      </c>
      <c r="E92" s="67">
        <f>I92*L92</f>
        <v>4800000</v>
      </c>
      <c r="F92" s="62">
        <f t="shared" si="16"/>
        <v>0</v>
      </c>
      <c r="G92" s="124">
        <f t="shared" si="14"/>
        <v>100</v>
      </c>
      <c r="H92" s="69" t="s">
        <v>120</v>
      </c>
      <c r="I92" s="64">
        <v>400000</v>
      </c>
      <c r="J92" s="64" t="s">
        <v>41</v>
      </c>
      <c r="K92" s="64" t="s">
        <v>45</v>
      </c>
      <c r="L92" s="64">
        <v>12</v>
      </c>
      <c r="M92" s="64" t="s">
        <v>67</v>
      </c>
      <c r="N92" s="64"/>
      <c r="O92" s="70"/>
      <c r="P92" s="70"/>
      <c r="Q92" s="70"/>
      <c r="R92" s="70"/>
      <c r="S92" s="99"/>
      <c r="T92" s="115">
        <f>I92*L92</f>
        <v>4800000</v>
      </c>
    </row>
    <row r="93" spans="1:20" ht="20.100000000000001" customHeight="1" x14ac:dyDescent="0.15">
      <c r="A93" s="161"/>
      <c r="B93" s="80"/>
      <c r="C93" s="96" t="s">
        <v>98</v>
      </c>
      <c r="D93" s="66">
        <v>2000000</v>
      </c>
      <c r="E93" s="67">
        <f>I93*L93</f>
        <v>2000000</v>
      </c>
      <c r="F93" s="62">
        <f t="shared" si="16"/>
        <v>0</v>
      </c>
      <c r="G93" s="124">
        <f t="shared" si="14"/>
        <v>100</v>
      </c>
      <c r="H93" s="69" t="s">
        <v>17</v>
      </c>
      <c r="I93" s="64">
        <v>200000</v>
      </c>
      <c r="J93" s="64" t="s">
        <v>41</v>
      </c>
      <c r="K93" s="64" t="s">
        <v>45</v>
      </c>
      <c r="L93" s="64">
        <v>10</v>
      </c>
      <c r="M93" s="64" t="s">
        <v>42</v>
      </c>
      <c r="N93" s="64"/>
      <c r="O93" s="70"/>
      <c r="P93" s="70"/>
      <c r="Q93" s="70"/>
      <c r="R93" s="70"/>
      <c r="S93" s="99"/>
      <c r="T93" s="115">
        <f>I93*L93</f>
        <v>2000000</v>
      </c>
    </row>
    <row r="94" spans="1:20" ht="20.100000000000001" customHeight="1" x14ac:dyDescent="0.15">
      <c r="A94" s="161"/>
      <c r="B94" s="201"/>
      <c r="C94" s="175" t="s">
        <v>68</v>
      </c>
      <c r="D94" s="135">
        <v>1600000</v>
      </c>
      <c r="E94" s="51">
        <f>I94*L94</f>
        <v>1600000</v>
      </c>
      <c r="F94" s="62">
        <f t="shared" si="16"/>
        <v>0</v>
      </c>
      <c r="G94" s="124">
        <f t="shared" si="14"/>
        <v>100</v>
      </c>
      <c r="H94" s="63" t="s">
        <v>81</v>
      </c>
      <c r="I94" s="64">
        <v>200000</v>
      </c>
      <c r="J94" s="64" t="s">
        <v>41</v>
      </c>
      <c r="K94" s="64" t="s">
        <v>45</v>
      </c>
      <c r="L94" s="64">
        <v>8</v>
      </c>
      <c r="M94" s="64" t="s">
        <v>42</v>
      </c>
      <c r="N94" s="64"/>
      <c r="O94" s="64"/>
      <c r="P94" s="64"/>
      <c r="Q94" s="64"/>
      <c r="R94" s="64"/>
      <c r="S94" s="100"/>
      <c r="T94" s="115">
        <f>I94*L94</f>
        <v>1600000</v>
      </c>
    </row>
    <row r="95" spans="1:20" ht="20.100000000000001" customHeight="1" x14ac:dyDescent="0.15">
      <c r="A95" s="161"/>
      <c r="B95" s="342" t="s">
        <v>83</v>
      </c>
      <c r="C95" s="343"/>
      <c r="D95" s="67">
        <f>D96</f>
        <v>15020000</v>
      </c>
      <c r="E95" s="67">
        <f>E96</f>
        <v>15020000</v>
      </c>
      <c r="F95" s="68">
        <f t="shared" si="16"/>
        <v>0</v>
      </c>
      <c r="G95" s="154">
        <f t="shared" si="14"/>
        <v>100</v>
      </c>
      <c r="H95" s="69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99"/>
      <c r="T95" s="156"/>
    </row>
    <row r="96" spans="1:20" ht="20.100000000000001" customHeight="1" x14ac:dyDescent="0.15">
      <c r="A96" s="161"/>
      <c r="B96" s="177"/>
      <c r="C96" s="80" t="s">
        <v>119</v>
      </c>
      <c r="D96" s="140">
        <v>15020000</v>
      </c>
      <c r="E96" s="81">
        <f>SUM(T97:T100)</f>
        <v>15020000</v>
      </c>
      <c r="F96" s="78">
        <f t="shared" si="16"/>
        <v>0</v>
      </c>
      <c r="G96" s="127">
        <f t="shared" si="14"/>
        <v>100</v>
      </c>
      <c r="H96" s="79" t="s">
        <v>119</v>
      </c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101"/>
      <c r="T96" s="118">
        <f>SUM(T97:T100)</f>
        <v>15020000</v>
      </c>
    </row>
    <row r="97" spans="1:22" ht="20.100000000000001" customHeight="1" x14ac:dyDescent="0.15">
      <c r="A97" s="161"/>
      <c r="B97" s="98"/>
      <c r="C97" s="80"/>
      <c r="D97" s="140"/>
      <c r="E97" s="293"/>
      <c r="F97" s="86"/>
      <c r="G97" s="126"/>
      <c r="H97" s="85" t="s">
        <v>7</v>
      </c>
      <c r="I97" s="258">
        <v>200000</v>
      </c>
      <c r="J97" s="258" t="s">
        <v>41</v>
      </c>
      <c r="K97" s="258" t="s">
        <v>45</v>
      </c>
      <c r="L97" s="258">
        <v>4</v>
      </c>
      <c r="M97" s="258" t="s">
        <v>42</v>
      </c>
      <c r="N97" s="258"/>
      <c r="O97" s="258"/>
      <c r="P97" s="258"/>
      <c r="Q97" s="258"/>
      <c r="R97" s="258"/>
      <c r="S97" s="259"/>
      <c r="T97" s="119">
        <f>I97*L97</f>
        <v>800000</v>
      </c>
    </row>
    <row r="98" spans="1:22" ht="20.100000000000001" customHeight="1" x14ac:dyDescent="0.15">
      <c r="A98" s="161"/>
      <c r="B98" s="98"/>
      <c r="C98" s="80"/>
      <c r="D98" s="133"/>
      <c r="F98" s="86"/>
      <c r="G98" s="129"/>
      <c r="H98" s="85" t="s">
        <v>183</v>
      </c>
      <c r="I98" s="258">
        <v>250000</v>
      </c>
      <c r="J98" s="258" t="s">
        <v>41</v>
      </c>
      <c r="K98" s="258" t="s">
        <v>45</v>
      </c>
      <c r="L98" s="258">
        <v>4</v>
      </c>
      <c r="M98" s="258" t="s">
        <v>42</v>
      </c>
      <c r="N98" s="258"/>
      <c r="O98" s="258"/>
      <c r="P98" s="258"/>
      <c r="Q98" s="258"/>
      <c r="R98" s="258"/>
      <c r="S98" s="259"/>
      <c r="T98" s="119">
        <f>I98*L98</f>
        <v>1000000</v>
      </c>
    </row>
    <row r="99" spans="1:22" ht="20.100000000000001" customHeight="1" x14ac:dyDescent="0.15">
      <c r="A99" s="161"/>
      <c r="B99" s="98"/>
      <c r="C99" s="80"/>
      <c r="D99" s="133"/>
      <c r="F99" s="86"/>
      <c r="G99" s="129"/>
      <c r="H99" s="69" t="s">
        <v>19</v>
      </c>
      <c r="I99" s="70">
        <v>935000</v>
      </c>
      <c r="J99" s="70" t="s">
        <v>41</v>
      </c>
      <c r="K99" s="70" t="s">
        <v>45</v>
      </c>
      <c r="L99" s="70">
        <v>12</v>
      </c>
      <c r="M99" s="70" t="s">
        <v>67</v>
      </c>
      <c r="N99" s="70"/>
      <c r="O99" s="70"/>
      <c r="P99" s="70"/>
      <c r="Q99" s="70"/>
      <c r="R99" s="70"/>
      <c r="S99" s="99"/>
      <c r="T99" s="120">
        <f>I99*L99</f>
        <v>11220000</v>
      </c>
      <c r="V99" s="184">
        <f>T98+463620</f>
        <v>1463620</v>
      </c>
    </row>
    <row r="100" spans="1:22" ht="20.100000000000001" customHeight="1" x14ac:dyDescent="0.15">
      <c r="A100" s="162"/>
      <c r="B100" s="200"/>
      <c r="C100" s="173"/>
      <c r="D100" s="133"/>
      <c r="F100" s="86"/>
      <c r="G100" s="129"/>
      <c r="H100" s="69" t="s">
        <v>169</v>
      </c>
      <c r="I100" s="70">
        <v>500000</v>
      </c>
      <c r="J100" s="70" t="s">
        <v>170</v>
      </c>
      <c r="K100" s="258" t="s">
        <v>45</v>
      </c>
      <c r="L100" s="258">
        <v>4</v>
      </c>
      <c r="M100" s="258" t="s">
        <v>42</v>
      </c>
      <c r="N100" s="70"/>
      <c r="O100" s="70"/>
      <c r="P100" s="70"/>
      <c r="Q100" s="70"/>
      <c r="R100" s="70"/>
      <c r="S100" s="99"/>
      <c r="T100" s="120">
        <f>I100*L100</f>
        <v>2000000</v>
      </c>
      <c r="V100" s="43">
        <f>V99/4</f>
        <v>365905</v>
      </c>
    </row>
    <row r="101" spans="1:22" ht="20.100000000000001" customHeight="1" x14ac:dyDescent="0.15">
      <c r="A101" s="337" t="s">
        <v>151</v>
      </c>
      <c r="B101" s="337"/>
      <c r="C101" s="337"/>
      <c r="D101" s="89">
        <f>D102</f>
        <v>3000000</v>
      </c>
      <c r="E101" s="89">
        <f>E102</f>
        <v>3000000</v>
      </c>
      <c r="F101" s="61">
        <f t="shared" ref="F101:F103" si="17">E101-D101</f>
        <v>0</v>
      </c>
      <c r="G101" s="127">
        <v>0</v>
      </c>
      <c r="H101" s="69"/>
      <c r="I101" s="70"/>
      <c r="J101" s="70"/>
      <c r="K101" s="64"/>
      <c r="L101" s="64"/>
      <c r="M101" s="64"/>
      <c r="N101" s="70"/>
      <c r="O101" s="70"/>
      <c r="P101" s="70"/>
      <c r="Q101" s="70"/>
      <c r="R101" s="70"/>
      <c r="S101" s="99"/>
      <c r="T101" s="156"/>
    </row>
    <row r="102" spans="1:22" ht="20.100000000000001" customHeight="1" x14ac:dyDescent="0.15">
      <c r="A102" s="73"/>
      <c r="B102" s="349" t="s">
        <v>151</v>
      </c>
      <c r="C102" s="350"/>
      <c r="D102" s="81">
        <f>D103</f>
        <v>3000000</v>
      </c>
      <c r="E102" s="81">
        <f>E103</f>
        <v>3000000</v>
      </c>
      <c r="F102" s="78">
        <f t="shared" si="17"/>
        <v>0</v>
      </c>
      <c r="G102" s="127">
        <v>0</v>
      </c>
      <c r="H102" s="79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101"/>
      <c r="T102" s="159"/>
    </row>
    <row r="103" spans="1:22" ht="20.100000000000001" customHeight="1" x14ac:dyDescent="0.15">
      <c r="A103" s="162"/>
      <c r="B103" s="192"/>
      <c r="C103" s="175" t="s">
        <v>154</v>
      </c>
      <c r="D103" s="135">
        <v>3000000</v>
      </c>
      <c r="E103" s="51">
        <f>SUM(T103)</f>
        <v>3000000</v>
      </c>
      <c r="F103" s="62">
        <f t="shared" si="17"/>
        <v>0</v>
      </c>
      <c r="G103" s="127">
        <v>0</v>
      </c>
      <c r="H103" s="63" t="s">
        <v>152</v>
      </c>
      <c r="I103" s="64">
        <v>3000000</v>
      </c>
      <c r="J103" s="64" t="s">
        <v>41</v>
      </c>
      <c r="K103" s="64" t="s">
        <v>45</v>
      </c>
      <c r="L103" s="64">
        <v>1</v>
      </c>
      <c r="M103" s="64" t="s">
        <v>42</v>
      </c>
      <c r="N103" s="64"/>
      <c r="O103" s="64"/>
      <c r="P103" s="64"/>
      <c r="Q103" s="64"/>
      <c r="R103" s="64"/>
      <c r="S103" s="100"/>
      <c r="T103" s="115">
        <f>I103*L103</f>
        <v>3000000</v>
      </c>
    </row>
    <row r="104" spans="1:22" ht="20.100000000000001" customHeight="1" x14ac:dyDescent="0.15">
      <c r="A104" s="337" t="s">
        <v>66</v>
      </c>
      <c r="B104" s="337"/>
      <c r="C104" s="337"/>
      <c r="D104" s="71">
        <f>D105</f>
        <v>2300000</v>
      </c>
      <c r="E104" s="71">
        <f>E105</f>
        <v>2300000</v>
      </c>
      <c r="F104" s="57">
        <f t="shared" ref="F104:F110" si="18">E104-D104</f>
        <v>0</v>
      </c>
      <c r="G104" s="232">
        <f t="shared" si="14"/>
        <v>100</v>
      </c>
      <c r="H104" s="69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99"/>
      <c r="T104" s="156"/>
    </row>
    <row r="105" spans="1:22" ht="20.100000000000001" customHeight="1" x14ac:dyDescent="0.15">
      <c r="A105" s="73"/>
      <c r="B105" s="332" t="s">
        <v>66</v>
      </c>
      <c r="C105" s="316"/>
      <c r="D105" s="51">
        <f>D106</f>
        <v>2300000</v>
      </c>
      <c r="E105" s="51">
        <f>E106</f>
        <v>2300000</v>
      </c>
      <c r="F105" s="62">
        <f t="shared" si="18"/>
        <v>0</v>
      </c>
      <c r="G105" s="124">
        <f t="shared" si="14"/>
        <v>100</v>
      </c>
      <c r="H105" s="63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100"/>
      <c r="T105" s="115"/>
    </row>
    <row r="106" spans="1:22" ht="24" customHeight="1" x14ac:dyDescent="0.15">
      <c r="A106" s="161"/>
      <c r="B106" s="152"/>
      <c r="C106" s="80" t="s">
        <v>66</v>
      </c>
      <c r="D106" s="88">
        <v>2300000</v>
      </c>
      <c r="E106" s="148">
        <f>SUM(T106:T107)</f>
        <v>2300000</v>
      </c>
      <c r="F106" s="78">
        <f t="shared" si="18"/>
        <v>0</v>
      </c>
      <c r="G106" s="127">
        <f t="shared" si="14"/>
        <v>100</v>
      </c>
      <c r="H106" s="79" t="s">
        <v>150</v>
      </c>
      <c r="I106" s="82">
        <v>200000</v>
      </c>
      <c r="J106" s="82" t="s">
        <v>41</v>
      </c>
      <c r="K106" s="82" t="s">
        <v>45</v>
      </c>
      <c r="L106" s="82">
        <v>4</v>
      </c>
      <c r="M106" s="82" t="s">
        <v>42</v>
      </c>
      <c r="N106" s="82"/>
      <c r="O106" s="82"/>
      <c r="P106" s="82"/>
      <c r="Q106" s="82"/>
      <c r="R106" s="82"/>
      <c r="S106" s="101"/>
      <c r="T106" s="159">
        <f>I106*L106</f>
        <v>800000</v>
      </c>
    </row>
    <row r="107" spans="1:22" ht="24" customHeight="1" x14ac:dyDescent="0.15">
      <c r="A107" s="161"/>
      <c r="B107" s="177"/>
      <c r="C107" s="97"/>
      <c r="D107" s="88"/>
      <c r="E107" s="148"/>
      <c r="F107" s="86"/>
      <c r="G107" s="129"/>
      <c r="H107" s="85" t="s">
        <v>149</v>
      </c>
      <c r="I107" s="258">
        <v>300000</v>
      </c>
      <c r="J107" s="258" t="s">
        <v>147</v>
      </c>
      <c r="K107" s="258" t="s">
        <v>45</v>
      </c>
      <c r="L107" s="258">
        <v>5</v>
      </c>
      <c r="M107" s="258" t="s">
        <v>148</v>
      </c>
      <c r="N107" s="258"/>
      <c r="O107" s="258"/>
      <c r="P107" s="258"/>
      <c r="Q107" s="258"/>
      <c r="R107" s="258"/>
      <c r="S107" s="259"/>
      <c r="T107" s="118">
        <f>I107*L107</f>
        <v>1500000</v>
      </c>
    </row>
    <row r="108" spans="1:22" ht="24.75" customHeight="1" x14ac:dyDescent="0.15">
      <c r="A108" s="314" t="s">
        <v>28</v>
      </c>
      <c r="B108" s="315"/>
      <c r="C108" s="316"/>
      <c r="D108" s="89">
        <f>D109</f>
        <v>1874450</v>
      </c>
      <c r="E108" s="89">
        <f>E109</f>
        <v>1873600</v>
      </c>
      <c r="F108" s="61">
        <f t="shared" si="18"/>
        <v>-850</v>
      </c>
      <c r="G108" s="123">
        <f t="shared" si="14"/>
        <v>99.954653364987067</v>
      </c>
      <c r="H108" s="75"/>
      <c r="I108" s="76"/>
      <c r="J108" s="76"/>
      <c r="K108" s="64"/>
      <c r="L108" s="76"/>
      <c r="M108" s="76"/>
      <c r="N108" s="76"/>
      <c r="O108" s="76"/>
      <c r="P108" s="76"/>
      <c r="Q108" s="76"/>
      <c r="R108" s="76"/>
      <c r="S108" s="100"/>
      <c r="T108" s="115"/>
    </row>
    <row r="109" spans="1:22" ht="24.75" customHeight="1" x14ac:dyDescent="0.15">
      <c r="A109" s="161"/>
      <c r="B109" s="332" t="s">
        <v>52</v>
      </c>
      <c r="C109" s="316"/>
      <c r="D109" s="67">
        <f>D110</f>
        <v>1874450</v>
      </c>
      <c r="E109" s="67">
        <f>E110</f>
        <v>1873600</v>
      </c>
      <c r="F109" s="68">
        <f t="shared" si="18"/>
        <v>-850</v>
      </c>
      <c r="G109" s="124">
        <f t="shared" si="14"/>
        <v>99.954653364987067</v>
      </c>
      <c r="H109" s="69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99"/>
      <c r="T109" s="115"/>
    </row>
    <row r="110" spans="1:22" ht="24.75" customHeight="1" x14ac:dyDescent="0.15">
      <c r="A110" s="162"/>
      <c r="B110" s="173"/>
      <c r="C110" s="173" t="s">
        <v>52</v>
      </c>
      <c r="D110" s="135">
        <v>1874450</v>
      </c>
      <c r="E110" s="51">
        <f>T110</f>
        <v>1873600</v>
      </c>
      <c r="F110" s="62">
        <f t="shared" si="18"/>
        <v>-850</v>
      </c>
      <c r="G110" s="124">
        <f t="shared" si="14"/>
        <v>99.954653364987067</v>
      </c>
      <c r="H110" s="63" t="s">
        <v>52</v>
      </c>
      <c r="I110" s="64">
        <f>2000000-890-124660+20-870</f>
        <v>1873600</v>
      </c>
      <c r="J110" s="64" t="s">
        <v>41</v>
      </c>
      <c r="K110" s="64" t="s">
        <v>45</v>
      </c>
      <c r="L110" s="64">
        <v>1</v>
      </c>
      <c r="M110" s="64" t="s">
        <v>42</v>
      </c>
      <c r="N110" s="64"/>
      <c r="O110" s="64"/>
      <c r="P110" s="64"/>
      <c r="Q110" s="64"/>
      <c r="R110" s="64"/>
      <c r="S110" s="100"/>
      <c r="T110" s="115">
        <f>I110*L110</f>
        <v>1873600</v>
      </c>
    </row>
    <row r="111" spans="1:22" ht="23.25" customHeight="1" x14ac:dyDescent="0.15">
      <c r="A111" s="337" t="s">
        <v>178</v>
      </c>
      <c r="B111" s="337"/>
      <c r="C111" s="337"/>
      <c r="D111" s="71">
        <f>D112</f>
        <v>4000000</v>
      </c>
      <c r="E111" s="71">
        <f>E112</f>
        <v>10000000</v>
      </c>
      <c r="F111" s="57">
        <f t="shared" ref="F111:F113" si="19">E111-D111</f>
        <v>6000000</v>
      </c>
      <c r="G111" s="123">
        <v>0</v>
      </c>
      <c r="H111" s="69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99"/>
      <c r="T111" s="156"/>
    </row>
    <row r="112" spans="1:22" ht="23.25" customHeight="1" x14ac:dyDescent="0.15">
      <c r="A112" s="73"/>
      <c r="B112" s="332" t="s">
        <v>180</v>
      </c>
      <c r="C112" s="316"/>
      <c r="D112" s="51">
        <f>D113+D114</f>
        <v>4000000</v>
      </c>
      <c r="E112" s="51">
        <f>SUM(E113:E114)</f>
        <v>10000000</v>
      </c>
      <c r="F112" s="62">
        <f t="shared" si="19"/>
        <v>6000000</v>
      </c>
      <c r="G112" s="124">
        <v>0</v>
      </c>
      <c r="H112" s="63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100"/>
      <c r="T112" s="115"/>
    </row>
    <row r="113" spans="1:20" ht="23.25" customHeight="1" x14ac:dyDescent="0.15">
      <c r="A113" s="161"/>
      <c r="B113" s="203"/>
      <c r="C113" s="175" t="s">
        <v>179</v>
      </c>
      <c r="D113" s="135">
        <v>2000000</v>
      </c>
      <c r="E113" s="51">
        <f>T113</f>
        <v>5000000</v>
      </c>
      <c r="F113" s="62">
        <f t="shared" si="19"/>
        <v>3000000</v>
      </c>
      <c r="G113" s="124">
        <v>0</v>
      </c>
      <c r="H113" s="79" t="s">
        <v>181</v>
      </c>
      <c r="I113" s="82">
        <v>5000000</v>
      </c>
      <c r="J113" s="82" t="s">
        <v>41</v>
      </c>
      <c r="K113" s="82" t="s">
        <v>45</v>
      </c>
      <c r="L113" s="82">
        <v>1</v>
      </c>
      <c r="M113" s="82" t="s">
        <v>42</v>
      </c>
      <c r="N113" s="82"/>
      <c r="O113" s="82"/>
      <c r="P113" s="82"/>
      <c r="Q113" s="82"/>
      <c r="R113" s="82"/>
      <c r="S113" s="101"/>
      <c r="T113" s="159">
        <f>I113*L113</f>
        <v>5000000</v>
      </c>
    </row>
    <row r="114" spans="1:20" ht="27" customHeight="1" x14ac:dyDescent="0.15">
      <c r="A114" s="235"/>
      <c r="B114" s="234"/>
      <c r="C114" s="241" t="s">
        <v>210</v>
      </c>
      <c r="D114" s="242">
        <v>2000000</v>
      </c>
      <c r="E114" s="281">
        <f>T114</f>
        <v>5000000</v>
      </c>
      <c r="F114" s="243">
        <f t="shared" ref="F114" si="20">E114-D114</f>
        <v>3000000</v>
      </c>
      <c r="G114" s="297">
        <v>0</v>
      </c>
      <c r="H114" s="300" t="s">
        <v>182</v>
      </c>
      <c r="I114" s="284">
        <v>5000000</v>
      </c>
      <c r="J114" s="284" t="s">
        <v>41</v>
      </c>
      <c r="K114" s="284" t="s">
        <v>45</v>
      </c>
      <c r="L114" s="284">
        <v>1</v>
      </c>
      <c r="M114" s="284" t="s">
        <v>42</v>
      </c>
      <c r="N114" s="284"/>
      <c r="O114" s="284"/>
      <c r="P114" s="284"/>
      <c r="Q114" s="284"/>
      <c r="R114" s="284"/>
      <c r="S114" s="301"/>
      <c r="T114" s="298">
        <f>I114*L114</f>
        <v>5000000</v>
      </c>
    </row>
  </sheetData>
  <mergeCells count="26">
    <mergeCell ref="A111:C111"/>
    <mergeCell ref="B112:C112"/>
    <mergeCell ref="B95:C95"/>
    <mergeCell ref="A104:C104"/>
    <mergeCell ref="B105:C105"/>
    <mergeCell ref="A108:C108"/>
    <mergeCell ref="B109:C109"/>
    <mergeCell ref="A101:C101"/>
    <mergeCell ref="B102:C102"/>
    <mergeCell ref="A84:C84"/>
    <mergeCell ref="B85:C85"/>
    <mergeCell ref="A89:C89"/>
    <mergeCell ref="B90:C90"/>
    <mergeCell ref="B59:C59"/>
    <mergeCell ref="A1:S1"/>
    <mergeCell ref="A3:C3"/>
    <mergeCell ref="D3:D4"/>
    <mergeCell ref="E3:E4"/>
    <mergeCell ref="F3:G3"/>
    <mergeCell ref="N2:T2"/>
    <mergeCell ref="H3:T4"/>
    <mergeCell ref="A5:C5"/>
    <mergeCell ref="A6:C6"/>
    <mergeCell ref="A7:A16"/>
    <mergeCell ref="B7:C7"/>
    <mergeCell ref="B55:C55"/>
  </mergeCells>
  <phoneticPr fontId="19" type="noConversion"/>
  <printOptions horizontalCentered="1"/>
  <pageMargins left="0.59041666984558105" right="0.59041666984558105" top="0.78694444894790649" bottom="0.59041666984558105" header="0.51138889789581299" footer="0.51138889789581299"/>
  <pageSetup paperSize="9" scale="72" firstPageNumber="4" fitToHeight="0" orientation="landscape" useFirstPageNumber="1" r:id="rId1"/>
  <headerFooter>
    <oddFooter>&amp;R&amp;"굴림,보통"&amp;9참좋은무일복지센터(2023.02.13)</oddFooter>
  </headerFooter>
  <rowBreaks count="3" manualBreakCount="3">
    <brk id="33" max="19" man="1"/>
    <brk id="58" max="19" man="1"/>
    <brk id="88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39"/>
  <sheetViews>
    <sheetView view="pageBreakPreview" zoomScaleNormal="100" zoomScaleSheetLayoutView="100" workbookViewId="0">
      <selection activeCell="C39" sqref="C39:E39"/>
    </sheetView>
  </sheetViews>
  <sheetFormatPr defaultColWidth="8.88671875" defaultRowHeight="13.5" x14ac:dyDescent="0.15"/>
  <cols>
    <col min="1" max="1" width="12.21875" style="43" customWidth="1"/>
    <col min="2" max="2" width="13.21875" style="52" customWidth="1"/>
    <col min="3" max="4" width="14.77734375" style="52" customWidth="1"/>
    <col min="5" max="5" width="18.44140625" style="52" customWidth="1"/>
    <col min="6" max="6" width="8.88671875" style="43"/>
    <col min="7" max="7" width="11.6640625" style="43" bestFit="1" customWidth="1"/>
    <col min="8" max="16384" width="8.88671875" style="43"/>
  </cols>
  <sheetData>
    <row r="1" spans="1:7" ht="39" customHeight="1" x14ac:dyDescent="0.15">
      <c r="A1" s="379" t="s">
        <v>129</v>
      </c>
      <c r="B1" s="379"/>
      <c r="C1" s="379"/>
      <c r="D1" s="379"/>
      <c r="E1" s="379"/>
    </row>
    <row r="2" spans="1:7" ht="21" customHeight="1" x14ac:dyDescent="0.15">
      <c r="A2" s="363" t="s">
        <v>200</v>
      </c>
      <c r="B2" s="363"/>
      <c r="C2" s="363"/>
      <c r="D2" s="363"/>
      <c r="E2" s="363"/>
    </row>
    <row r="3" spans="1:7" ht="21" customHeight="1" x14ac:dyDescent="0.15">
      <c r="A3" s="363" t="s">
        <v>10</v>
      </c>
      <c r="B3" s="363"/>
      <c r="C3" s="363"/>
      <c r="D3" s="363"/>
      <c r="E3" s="363"/>
    </row>
    <row r="4" spans="1:7" ht="14.25" customHeight="1" x14ac:dyDescent="0.15">
      <c r="A4" s="83"/>
      <c r="B4" s="206"/>
      <c r="C4" s="206"/>
      <c r="D4" s="206"/>
      <c r="E4" s="207" t="s">
        <v>14</v>
      </c>
    </row>
    <row r="5" spans="1:7" ht="21" customHeight="1" x14ac:dyDescent="0.15">
      <c r="A5" s="364"/>
      <c r="B5" s="365"/>
      <c r="C5" s="208" t="s">
        <v>201</v>
      </c>
      <c r="D5" s="208" t="s">
        <v>201</v>
      </c>
      <c r="E5" s="366" t="s">
        <v>8</v>
      </c>
    </row>
    <row r="6" spans="1:7" ht="21" customHeight="1" thickBot="1" x14ac:dyDescent="0.2">
      <c r="A6" s="209" t="s">
        <v>63</v>
      </c>
      <c r="B6" s="210" t="s">
        <v>46</v>
      </c>
      <c r="C6" s="211" t="s">
        <v>233</v>
      </c>
      <c r="D6" s="212" t="s">
        <v>234</v>
      </c>
      <c r="E6" s="367"/>
    </row>
    <row r="7" spans="1:7" ht="25.5" customHeight="1" thickTop="1" x14ac:dyDescent="0.15">
      <c r="A7" s="360" t="s">
        <v>107</v>
      </c>
      <c r="B7" s="370" t="s">
        <v>13</v>
      </c>
      <c r="C7" s="51">
        <f>세입예산!D17</f>
        <v>291542640</v>
      </c>
      <c r="D7" s="213">
        <f>세입예산!E17</f>
        <v>289140000</v>
      </c>
      <c r="E7" s="163">
        <f>D7-C7</f>
        <v>-2402640</v>
      </c>
      <c r="G7" s="50">
        <f>E7+E9+E11+E13+E15+E17</f>
        <v>11313000</v>
      </c>
    </row>
    <row r="8" spans="1:7" ht="23.45" customHeight="1" x14ac:dyDescent="0.15">
      <c r="A8" s="341"/>
      <c r="B8" s="370"/>
      <c r="C8" s="380" t="s">
        <v>242</v>
      </c>
      <c r="D8" s="381"/>
      <c r="E8" s="382"/>
    </row>
    <row r="9" spans="1:7" ht="27" customHeight="1" x14ac:dyDescent="0.15">
      <c r="A9" s="360" t="s">
        <v>43</v>
      </c>
      <c r="B9" s="370" t="s">
        <v>196</v>
      </c>
      <c r="C9" s="213">
        <f>세입예산!D33</f>
        <v>14189983</v>
      </c>
      <c r="D9" s="215">
        <f>세입예산!E33</f>
        <v>28345452</v>
      </c>
      <c r="E9" s="163">
        <f>D9-C9</f>
        <v>14155469</v>
      </c>
    </row>
    <row r="10" spans="1:7" ht="22.5" customHeight="1" x14ac:dyDescent="0.15">
      <c r="A10" s="341"/>
      <c r="B10" s="370"/>
      <c r="C10" s="371" t="s">
        <v>214</v>
      </c>
      <c r="D10" s="354"/>
      <c r="E10" s="354"/>
    </row>
    <row r="11" spans="1:7" ht="22.5" customHeight="1" x14ac:dyDescent="0.15">
      <c r="A11" s="341"/>
      <c r="B11" s="355" t="s">
        <v>197</v>
      </c>
      <c r="C11" s="213">
        <f>세입예산!D34</f>
        <v>1841414</v>
      </c>
      <c r="D11" s="215">
        <f>세입예산!E34</f>
        <v>1951461</v>
      </c>
      <c r="E11" s="216">
        <f>D11-C11</f>
        <v>110047</v>
      </c>
    </row>
    <row r="12" spans="1:7" ht="22.5" customHeight="1" x14ac:dyDescent="0.15">
      <c r="A12" s="346"/>
      <c r="B12" s="356"/>
      <c r="C12" s="357" t="s">
        <v>215</v>
      </c>
      <c r="D12" s="358"/>
      <c r="E12" s="359"/>
    </row>
    <row r="13" spans="1:7" ht="22.5" customHeight="1" x14ac:dyDescent="0.15">
      <c r="A13" s="341"/>
      <c r="B13" s="355" t="s">
        <v>217</v>
      </c>
      <c r="C13" s="213">
        <f>세입예산!D35</f>
        <v>0</v>
      </c>
      <c r="D13" s="215">
        <f>세입예산!E35</f>
        <v>351000</v>
      </c>
      <c r="E13" s="216">
        <f>D13-C13</f>
        <v>351000</v>
      </c>
    </row>
    <row r="14" spans="1:7" ht="19.899999999999999" customHeight="1" x14ac:dyDescent="0.15">
      <c r="A14" s="346"/>
      <c r="B14" s="356"/>
      <c r="C14" s="357" t="s">
        <v>218</v>
      </c>
      <c r="D14" s="358"/>
      <c r="E14" s="359"/>
    </row>
    <row r="15" spans="1:7" ht="26.25" customHeight="1" x14ac:dyDescent="0.15">
      <c r="A15" s="360" t="s">
        <v>39</v>
      </c>
      <c r="B15" s="361" t="s">
        <v>6</v>
      </c>
      <c r="C15" s="51">
        <f>세입예산!D38</f>
        <v>7723</v>
      </c>
      <c r="D15" s="51">
        <f>세입예산!E38</f>
        <v>6847</v>
      </c>
      <c r="E15" s="217">
        <f>D15-C15</f>
        <v>-876</v>
      </c>
    </row>
    <row r="16" spans="1:7" ht="22.5" customHeight="1" x14ac:dyDescent="0.15">
      <c r="A16" s="341"/>
      <c r="B16" s="369"/>
      <c r="C16" s="351" t="s">
        <v>237</v>
      </c>
      <c r="D16" s="352"/>
      <c r="E16" s="353"/>
    </row>
    <row r="17" spans="1:7" ht="26.25" customHeight="1" x14ac:dyDescent="0.15">
      <c r="A17" s="341"/>
      <c r="B17" s="361" t="s">
        <v>71</v>
      </c>
      <c r="C17" s="215">
        <f>세입예산!D40</f>
        <v>2800000</v>
      </c>
      <c r="D17" s="215">
        <f>세입예산!E40</f>
        <v>1900000</v>
      </c>
      <c r="E17" s="216">
        <f>D17-C17</f>
        <v>-900000</v>
      </c>
    </row>
    <row r="18" spans="1:7" ht="23.25" customHeight="1" x14ac:dyDescent="0.15">
      <c r="A18" s="372"/>
      <c r="B18" s="373"/>
      <c r="C18" s="374" t="s">
        <v>204</v>
      </c>
      <c r="D18" s="375"/>
      <c r="E18" s="376"/>
    </row>
    <row r="19" spans="1:7" ht="24" customHeight="1" x14ac:dyDescent="0.15">
      <c r="A19" s="83"/>
      <c r="B19" s="218"/>
      <c r="C19" s="219"/>
      <c r="D19" s="220"/>
      <c r="E19" s="221"/>
    </row>
    <row r="20" spans="1:7" ht="21" customHeight="1" x14ac:dyDescent="0.15">
      <c r="A20" s="363" t="s">
        <v>198</v>
      </c>
      <c r="B20" s="363"/>
      <c r="C20" s="363"/>
      <c r="D20" s="363"/>
      <c r="E20" s="363"/>
    </row>
    <row r="21" spans="1:7" ht="21" customHeight="1" x14ac:dyDescent="0.15">
      <c r="A21" s="83"/>
      <c r="B21" s="206"/>
      <c r="C21" s="206"/>
      <c r="D21" s="206"/>
      <c r="E21" s="207" t="s">
        <v>14</v>
      </c>
    </row>
    <row r="22" spans="1:7" ht="21" customHeight="1" x14ac:dyDescent="0.15">
      <c r="A22" s="364"/>
      <c r="B22" s="365"/>
      <c r="C22" s="208" t="s">
        <v>201</v>
      </c>
      <c r="D22" s="208" t="s">
        <v>201</v>
      </c>
      <c r="E22" s="366" t="s">
        <v>8</v>
      </c>
    </row>
    <row r="23" spans="1:7" ht="21" customHeight="1" thickBot="1" x14ac:dyDescent="0.2">
      <c r="A23" s="222" t="s">
        <v>63</v>
      </c>
      <c r="B23" s="209" t="s">
        <v>46</v>
      </c>
      <c r="C23" s="211" t="s">
        <v>233</v>
      </c>
      <c r="D23" s="212" t="s">
        <v>234</v>
      </c>
      <c r="E23" s="367"/>
      <c r="G23" s="50">
        <f>E24+E26+E30+E32+E34+E28+E36+E38</f>
        <v>11313000</v>
      </c>
    </row>
    <row r="24" spans="1:7" ht="21" customHeight="1" thickTop="1" x14ac:dyDescent="0.15">
      <c r="A24" s="377" t="s">
        <v>57</v>
      </c>
      <c r="B24" s="378" t="s">
        <v>199</v>
      </c>
      <c r="C24" s="223">
        <f>세출예산!D8</f>
        <v>221347440</v>
      </c>
      <c r="D24" s="213">
        <f>세출예산!E8</f>
        <v>222004340</v>
      </c>
      <c r="E24" s="214">
        <f>D24-C24</f>
        <v>656900</v>
      </c>
    </row>
    <row r="25" spans="1:7" ht="21" customHeight="1" x14ac:dyDescent="0.15">
      <c r="A25" s="341"/>
      <c r="B25" s="356"/>
      <c r="C25" s="354" t="s">
        <v>223</v>
      </c>
      <c r="D25" s="354"/>
      <c r="E25" s="354"/>
    </row>
    <row r="26" spans="1:7" ht="21" customHeight="1" x14ac:dyDescent="0.15">
      <c r="A26" s="341"/>
      <c r="B26" s="368" t="s">
        <v>114</v>
      </c>
      <c r="C26" s="213">
        <f>세출예산!D17</f>
        <v>27987790</v>
      </c>
      <c r="D26" s="51">
        <f>세출예산!E17</f>
        <v>32292430</v>
      </c>
      <c r="E26" s="224">
        <f>D26-C26</f>
        <v>4304640</v>
      </c>
    </row>
    <row r="27" spans="1:7" ht="21" customHeight="1" x14ac:dyDescent="0.15">
      <c r="A27" s="341"/>
      <c r="B27" s="356"/>
      <c r="C27" s="354" t="s">
        <v>224</v>
      </c>
      <c r="D27" s="354"/>
      <c r="E27" s="354"/>
    </row>
    <row r="28" spans="1:7" ht="21" customHeight="1" x14ac:dyDescent="0.15">
      <c r="A28" s="341"/>
      <c r="B28" s="368" t="s">
        <v>220</v>
      </c>
      <c r="C28" s="213">
        <f>세출예산!D46</f>
        <v>1616160</v>
      </c>
      <c r="D28" s="215">
        <f>세출예산!E46</f>
        <v>1028630</v>
      </c>
      <c r="E28" s="163">
        <f>D28-C28</f>
        <v>-587530</v>
      </c>
    </row>
    <row r="29" spans="1:7" ht="21" customHeight="1" x14ac:dyDescent="0.15">
      <c r="A29" s="341"/>
      <c r="B29" s="356"/>
      <c r="C29" s="354" t="s">
        <v>225</v>
      </c>
      <c r="D29" s="354"/>
      <c r="E29" s="354"/>
    </row>
    <row r="30" spans="1:7" ht="21" customHeight="1" x14ac:dyDescent="0.15">
      <c r="A30" s="341"/>
      <c r="B30" s="368" t="s">
        <v>31</v>
      </c>
      <c r="C30" s="213">
        <f>세출예산!D47</f>
        <v>20777930</v>
      </c>
      <c r="D30" s="215">
        <f>세출예산!E47</f>
        <v>21191390</v>
      </c>
      <c r="E30" s="163">
        <f>D30-C30</f>
        <v>413460</v>
      </c>
    </row>
    <row r="31" spans="1:7" ht="21" customHeight="1" x14ac:dyDescent="0.15">
      <c r="A31" s="341"/>
      <c r="B31" s="356"/>
      <c r="C31" s="354" t="s">
        <v>238</v>
      </c>
      <c r="D31" s="354"/>
      <c r="E31" s="354"/>
    </row>
    <row r="32" spans="1:7" ht="21.75" customHeight="1" x14ac:dyDescent="0.15">
      <c r="A32" s="341"/>
      <c r="B32" s="361" t="s">
        <v>70</v>
      </c>
      <c r="C32" s="213">
        <f>세출예산!D49</f>
        <v>26452230</v>
      </c>
      <c r="D32" s="51">
        <f>세출예산!E49</f>
        <v>26978610</v>
      </c>
      <c r="E32" s="217">
        <f>D32-C32</f>
        <v>526380</v>
      </c>
    </row>
    <row r="33" spans="1:5" ht="21.75" customHeight="1" x14ac:dyDescent="0.15">
      <c r="A33" s="346"/>
      <c r="B33" s="369"/>
      <c r="C33" s="354" t="s">
        <v>239</v>
      </c>
      <c r="D33" s="354"/>
      <c r="E33" s="354"/>
    </row>
    <row r="34" spans="1:5" ht="21" customHeight="1" x14ac:dyDescent="0.15">
      <c r="A34" s="360" t="s">
        <v>52</v>
      </c>
      <c r="B34" s="361" t="s">
        <v>52</v>
      </c>
      <c r="C34" s="215">
        <f>세출예산!D110</f>
        <v>1874450</v>
      </c>
      <c r="D34" s="215">
        <f>세출예산!E110</f>
        <v>1873600</v>
      </c>
      <c r="E34" s="216">
        <f>D34-C34</f>
        <v>-850</v>
      </c>
    </row>
    <row r="35" spans="1:5" ht="21" customHeight="1" x14ac:dyDescent="0.15">
      <c r="A35" s="346"/>
      <c r="B35" s="362"/>
      <c r="C35" s="357" t="s">
        <v>229</v>
      </c>
      <c r="D35" s="358"/>
      <c r="E35" s="359"/>
    </row>
    <row r="36" spans="1:5" ht="21" customHeight="1" x14ac:dyDescent="0.15">
      <c r="A36" s="383" t="s">
        <v>221</v>
      </c>
      <c r="B36" s="361" t="s">
        <v>222</v>
      </c>
      <c r="C36" s="215">
        <f>세출예산!D113</f>
        <v>2000000</v>
      </c>
      <c r="D36" s="215">
        <f>세출예산!E113</f>
        <v>5000000</v>
      </c>
      <c r="E36" s="216">
        <f>D36-C36</f>
        <v>3000000</v>
      </c>
    </row>
    <row r="37" spans="1:5" ht="21" customHeight="1" x14ac:dyDescent="0.15">
      <c r="A37" s="384"/>
      <c r="B37" s="369"/>
      <c r="C37" s="385" t="s">
        <v>226</v>
      </c>
      <c r="D37" s="386"/>
      <c r="E37" s="387"/>
    </row>
    <row r="38" spans="1:5" ht="21" customHeight="1" x14ac:dyDescent="0.15">
      <c r="A38" s="341"/>
      <c r="B38" s="361" t="s">
        <v>228</v>
      </c>
      <c r="C38" s="215">
        <f>세출예산!D114</f>
        <v>2000000</v>
      </c>
      <c r="D38" s="215">
        <f>세출예산!E114</f>
        <v>5000000</v>
      </c>
      <c r="E38" s="216">
        <f>D38-C38</f>
        <v>3000000</v>
      </c>
    </row>
    <row r="39" spans="1:5" ht="21" customHeight="1" x14ac:dyDescent="0.15">
      <c r="A39" s="372"/>
      <c r="B39" s="373"/>
      <c r="C39" s="388" t="s">
        <v>227</v>
      </c>
      <c r="D39" s="389"/>
      <c r="E39" s="390"/>
    </row>
  </sheetData>
  <mergeCells count="47">
    <mergeCell ref="A36:A37"/>
    <mergeCell ref="B36:B37"/>
    <mergeCell ref="C37:E37"/>
    <mergeCell ref="A38:A39"/>
    <mergeCell ref="B38:B39"/>
    <mergeCell ref="C39:E39"/>
    <mergeCell ref="A7:A8"/>
    <mergeCell ref="B7:B8"/>
    <mergeCell ref="A1:E1"/>
    <mergeCell ref="A2:E2"/>
    <mergeCell ref="A3:E3"/>
    <mergeCell ref="A5:B5"/>
    <mergeCell ref="E5:E6"/>
    <mergeCell ref="C8:E8"/>
    <mergeCell ref="A9:A10"/>
    <mergeCell ref="B9:B10"/>
    <mergeCell ref="C10:E10"/>
    <mergeCell ref="A11:A12"/>
    <mergeCell ref="B11:B12"/>
    <mergeCell ref="C12:E12"/>
    <mergeCell ref="A34:A35"/>
    <mergeCell ref="B34:B35"/>
    <mergeCell ref="C35:E35"/>
    <mergeCell ref="A20:E20"/>
    <mergeCell ref="A22:B22"/>
    <mergeCell ref="E22:E23"/>
    <mergeCell ref="B30:B31"/>
    <mergeCell ref="C31:E31"/>
    <mergeCell ref="B32:B33"/>
    <mergeCell ref="C33:E33"/>
    <mergeCell ref="B28:B29"/>
    <mergeCell ref="C29:E29"/>
    <mergeCell ref="A26:A33"/>
    <mergeCell ref="B26:B27"/>
    <mergeCell ref="C27:E27"/>
    <mergeCell ref="A24:A25"/>
    <mergeCell ref="C16:E16"/>
    <mergeCell ref="C25:E25"/>
    <mergeCell ref="A13:A14"/>
    <mergeCell ref="B13:B14"/>
    <mergeCell ref="C14:E14"/>
    <mergeCell ref="A15:A16"/>
    <mergeCell ref="B15:B16"/>
    <mergeCell ref="A17:A18"/>
    <mergeCell ref="B17:B18"/>
    <mergeCell ref="C18:E18"/>
    <mergeCell ref="B24:B25"/>
  </mergeCells>
  <phoneticPr fontId="19" type="noConversion"/>
  <printOptions horizontalCentered="1"/>
  <pageMargins left="0.98416668176651001" right="0.98416668176651001" top="0.78694444894790649" bottom="0.78694444894790649" header="0.51138889789581299" footer="0.51138889789581299"/>
  <pageSetup paperSize="9" scale="70" firstPageNumber="8" fitToHeight="0" orientation="portrait" useFirstPageNumber="1" r:id="rId1"/>
  <headerFooter>
    <oddFooter>&amp;R&amp;"굴림,보통"&amp;9참좋은무일복지센터(2023.02.13)</oddFooter>
  </headerFooter>
  <colBreaks count="1" manualBreakCount="1">
    <brk id="5" max="163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8</vt:i4>
      </vt:variant>
    </vt:vector>
  </HeadingPairs>
  <TitlesOfParts>
    <vt:vector size="14" baseType="lpstr">
      <vt:lpstr>표지</vt:lpstr>
      <vt:lpstr>예산총칙</vt:lpstr>
      <vt:lpstr>총괄내역서</vt:lpstr>
      <vt:lpstr>세입예산</vt:lpstr>
      <vt:lpstr>세출예산</vt:lpstr>
      <vt:lpstr>예산증감내용</vt:lpstr>
      <vt:lpstr>세입예산!Consolidate_Area</vt:lpstr>
      <vt:lpstr>세출예산!Consolidate_Area</vt:lpstr>
      <vt:lpstr>예산증감내용!Consolidate_Area</vt:lpstr>
      <vt:lpstr>세입예산!Print_Area</vt:lpstr>
      <vt:lpstr>세출예산!Print_Area</vt:lpstr>
      <vt:lpstr>예산증감내용!Print_Area</vt:lpstr>
      <vt:lpstr>총괄내역서!Print_Area</vt:lpstr>
      <vt:lpstr>표지!Print_Area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PC</cp:lastModifiedBy>
  <cp:revision>10</cp:revision>
  <cp:lastPrinted>2023-02-24T06:49:57Z</cp:lastPrinted>
  <dcterms:created xsi:type="dcterms:W3CDTF">2016-12-07T07:13:09Z</dcterms:created>
  <dcterms:modified xsi:type="dcterms:W3CDTF">2023-02-24T06:49:58Z</dcterms:modified>
  <cp:version>1200.0100.01</cp:version>
</cp:coreProperties>
</file>