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E:\3. 예산 및 추경\2024년 예산 및 추경\참좋은기억학교) 2024년 결산 추경안\"/>
    </mc:Choice>
  </mc:AlternateContent>
  <xr:revisionPtr revIDLastSave="0" documentId="13_ncr:1_{FA07B968-EB47-48B7-B382-5455490F9F56}" xr6:coauthVersionLast="45" xr6:coauthVersionMax="45" xr10:uidLastSave="{00000000-0000-0000-0000-000000000000}"/>
  <bookViews>
    <workbookView xWindow="28680" yWindow="-120" windowWidth="24240" windowHeight="13140" xr2:uid="{00000000-000D-0000-FFFF-FFFF00000000}"/>
  </bookViews>
  <sheets>
    <sheet name="표지" sheetId="5" r:id="rId1"/>
    <sheet name="예산총칙" sheetId="1" r:id="rId2"/>
    <sheet name="예산총괄" sheetId="2" r:id="rId3"/>
    <sheet name="예산내역-세입" sheetId="8" r:id="rId4"/>
    <sheet name="예산내역-세출" sheetId="7" r:id="rId5"/>
    <sheet name="예산 변경사유서" sheetId="6" r:id="rId6"/>
  </sheets>
  <definedNames>
    <definedName name="_xlnm.Print_Area" localSheetId="5">'예산 변경사유서'!$A$1:$E$55</definedName>
    <definedName name="_xlnm.Print_Area" localSheetId="3">'예산내역-세입'!$A$1:$I$44</definedName>
    <definedName name="_xlnm.Print_Area" localSheetId="4">'예산내역-세출'!$A$1:$I$160</definedName>
    <definedName name="_xlnm.Print_Area" localSheetId="2">예산총괄!$A$1:$E$24</definedName>
    <definedName name="_xlnm.Print_Area" localSheetId="1">예산총칙!$A$1:$B$18</definedName>
    <definedName name="_xlnm.Print_Area" localSheetId="0">표지!$A$1:$A$12</definedName>
    <definedName name="_xlnm.Print_Titles" localSheetId="5">'예산 변경사유서'!$1:$1</definedName>
    <definedName name="_xlnm.Print_Titles" localSheetId="3">'예산내역-세입'!$3:$5</definedName>
    <definedName name="_xlnm.Print_Titles" localSheetId="4">'예산내역-세출'!$3:$5</definedName>
    <definedName name="Z_29BE6789_D580_482F_AE13_9E62D887C1AB_.wvu.PrintArea" localSheetId="5" hidden="1">'예산 변경사유서'!$A$1:$E$17</definedName>
    <definedName name="Z_29BE6789_D580_482F_AE13_9E62D887C1AB_.wvu.PrintArea" localSheetId="3" hidden="1">'예산내역-세입'!$A$1:$I$44</definedName>
    <definedName name="Z_29BE6789_D580_482F_AE13_9E62D887C1AB_.wvu.PrintArea" localSheetId="4" hidden="1">'예산내역-세출'!$A$1:$I$160</definedName>
    <definedName name="Z_29BE6789_D580_482F_AE13_9E62D887C1AB_.wvu.PrintArea" localSheetId="2" hidden="1">예산총괄!$A$1:$E$24</definedName>
    <definedName name="Z_29BE6789_D580_482F_AE13_9E62D887C1AB_.wvu.PrintArea" localSheetId="0" hidden="1">표지!$A$1:$A$12</definedName>
    <definedName name="Z_29BE6789_D580_482F_AE13_9E62D887C1AB_.wvu.PrintTitles" localSheetId="5" hidden="1">'예산 변경사유서'!$13:$14</definedName>
    <definedName name="Z_29BE6789_D580_482F_AE13_9E62D887C1AB_.wvu.PrintTitles" localSheetId="3" hidden="1">'예산내역-세입'!$3:$5</definedName>
    <definedName name="Z_29BE6789_D580_482F_AE13_9E62D887C1AB_.wvu.PrintTitles" localSheetId="4" hidden="1">'예산내역-세출'!$3:$5</definedName>
  </definedNames>
  <calcPr calcId="191029"/>
  <customWorkbookViews>
    <customWorkbookView name="PC - 사용자 보기" guid="{29BE6789-D580-482F-AE13-9E62D887C1AB}" mergeInterval="0" personalView="1" maximized="1" windowWidth="1596" windowHeight="607" activeSheetId="7"/>
  </customWorkbookViews>
</workbook>
</file>

<file path=xl/calcChain.xml><?xml version="1.0" encoding="utf-8"?>
<calcChain xmlns="http://schemas.openxmlformats.org/spreadsheetml/2006/main">
  <c r="D31" i="6" l="1"/>
  <c r="C31" i="6"/>
  <c r="E59" i="7"/>
  <c r="E50" i="7"/>
  <c r="E7" i="7"/>
  <c r="E8" i="7"/>
  <c r="E90" i="7"/>
  <c r="E89" i="7"/>
  <c r="E105" i="7"/>
  <c r="E104" i="7"/>
  <c r="E113" i="7"/>
  <c r="E141" i="7"/>
  <c r="E155" i="7"/>
  <c r="E156" i="7"/>
  <c r="E157" i="7"/>
  <c r="F155" i="7"/>
  <c r="D42" i="6"/>
  <c r="C42" i="6"/>
  <c r="A42" i="6"/>
  <c r="C54" i="6"/>
  <c r="D54" i="6"/>
  <c r="E54" i="6"/>
  <c r="B54" i="6"/>
  <c r="A54" i="6"/>
  <c r="C52" i="6"/>
  <c r="D52" i="6"/>
  <c r="E52" i="6"/>
  <c r="B52" i="6"/>
  <c r="A52" i="6"/>
  <c r="C50" i="6"/>
  <c r="D50" i="6"/>
  <c r="B50" i="6"/>
  <c r="A50" i="6"/>
  <c r="D48" i="6"/>
  <c r="E48" i="6"/>
  <c r="C48" i="6"/>
  <c r="D46" i="6"/>
  <c r="C46" i="6"/>
  <c r="D44" i="6"/>
  <c r="C44" i="6"/>
  <c r="A48" i="6"/>
  <c r="A46" i="6"/>
  <c r="A44" i="6"/>
  <c r="C40" i="6"/>
  <c r="D40" i="6"/>
  <c r="B40" i="6"/>
  <c r="A40" i="6"/>
  <c r="E38" i="6"/>
  <c r="D38" i="6"/>
  <c r="C38" i="6"/>
  <c r="B38" i="6"/>
  <c r="A38" i="6"/>
  <c r="C36" i="6"/>
  <c r="D36" i="6"/>
  <c r="B36" i="6"/>
  <c r="A36" i="6"/>
  <c r="C34" i="6"/>
  <c r="D34" i="6"/>
  <c r="E34" i="6"/>
  <c r="B34" i="6"/>
  <c r="A34" i="6"/>
  <c r="C32" i="6"/>
  <c r="D32" i="6"/>
  <c r="E32" i="6"/>
  <c r="B32" i="6"/>
  <c r="A32" i="6"/>
  <c r="C28" i="6"/>
  <c r="D28" i="6"/>
  <c r="B28" i="6"/>
  <c r="C26" i="6"/>
  <c r="D26" i="6"/>
  <c r="B26" i="6"/>
  <c r="A26" i="6"/>
  <c r="A28" i="6"/>
  <c r="C24" i="6"/>
  <c r="D24" i="6"/>
  <c r="B24" i="6"/>
  <c r="A24" i="6"/>
  <c r="C10" i="6"/>
  <c r="D10" i="6"/>
  <c r="C5" i="6"/>
  <c r="D5" i="6"/>
  <c r="C17" i="6"/>
  <c r="D17" i="6"/>
  <c r="B10" i="6"/>
  <c r="A10" i="6"/>
  <c r="C8" i="6"/>
  <c r="D8" i="6"/>
  <c r="E8" i="6" s="1"/>
  <c r="B8" i="6"/>
  <c r="A8" i="6"/>
  <c r="C6" i="6"/>
  <c r="D6" i="6"/>
  <c r="B6" i="6"/>
  <c r="A6" i="6"/>
  <c r="E46" i="6" l="1"/>
  <c r="E42" i="6"/>
  <c r="E10" i="6"/>
  <c r="E50" i="6"/>
  <c r="E6" i="6"/>
  <c r="E24" i="6"/>
  <c r="E26" i="6"/>
  <c r="E28" i="6"/>
  <c r="E40" i="6"/>
  <c r="E36" i="6"/>
  <c r="E44" i="6"/>
  <c r="E17" i="6"/>
  <c r="E5" i="6"/>
  <c r="I158" i="7" l="1"/>
  <c r="I53" i="7"/>
  <c r="I54" i="7"/>
  <c r="C20" i="6" l="1"/>
  <c r="D20" i="6"/>
  <c r="B20" i="6"/>
  <c r="E19" i="2"/>
  <c r="E20" i="2"/>
  <c r="E21" i="2"/>
  <c r="E22" i="2"/>
  <c r="E23" i="2"/>
  <c r="E17" i="2"/>
  <c r="E20" i="6" l="1"/>
  <c r="E34" i="8"/>
  <c r="I74" i="7"/>
  <c r="I37" i="8"/>
  <c r="I63" i="7"/>
  <c r="I160" i="7"/>
  <c r="I10" i="8"/>
  <c r="I108" i="7"/>
  <c r="E122" i="7"/>
  <c r="F122" i="7" s="1"/>
  <c r="G122" i="7" s="1"/>
  <c r="I123" i="7"/>
  <c r="I32" i="7"/>
  <c r="I36" i="8"/>
  <c r="I148" i="7"/>
  <c r="I107" i="7"/>
  <c r="I95" i="7"/>
  <c r="I70" i="7" l="1"/>
  <c r="I136" i="7" l="1"/>
  <c r="I126" i="7" l="1"/>
  <c r="I125" i="7"/>
  <c r="I140" i="7"/>
  <c r="I143" i="7"/>
  <c r="I83" i="7"/>
  <c r="I78" i="7"/>
  <c r="I79" i="7"/>
  <c r="I58" i="7"/>
  <c r="I52" i="7"/>
  <c r="I49" i="7"/>
  <c r="I38" i="7"/>
  <c r="I23" i="7"/>
  <c r="I36" i="7" l="1"/>
  <c r="E12" i="8"/>
  <c r="E18" i="8"/>
  <c r="F18" i="8" s="1"/>
  <c r="G18" i="8" s="1"/>
  <c r="I16" i="8" l="1"/>
  <c r="I119" i="7" l="1"/>
  <c r="I16" i="7"/>
  <c r="E37" i="7" l="1"/>
  <c r="I17" i="7"/>
  <c r="I131" i="7"/>
  <c r="I135" i="7"/>
  <c r="E139" i="7"/>
  <c r="I47" i="7"/>
  <c r="I34" i="7" l="1"/>
  <c r="I26" i="7" l="1"/>
  <c r="I112" i="7" l="1"/>
  <c r="E111" i="7" s="1"/>
  <c r="F111" i="7" s="1"/>
  <c r="G111" i="7" s="1"/>
  <c r="D4" i="8" l="1"/>
  <c r="E4" i="8"/>
  <c r="F13" i="8" l="1"/>
  <c r="I84" i="7" l="1"/>
  <c r="I64" i="7" l="1"/>
  <c r="I102" i="7"/>
  <c r="I77" i="7" l="1"/>
  <c r="I115" i="7"/>
  <c r="I137" i="7"/>
  <c r="I42" i="8"/>
  <c r="I44" i="8"/>
  <c r="I43" i="8"/>
  <c r="I33" i="8"/>
  <c r="I133" i="7"/>
  <c r="I134" i="7"/>
  <c r="E40" i="8" l="1"/>
  <c r="E51" i="7" l="1"/>
  <c r="I30" i="7"/>
  <c r="E28" i="7" s="1"/>
  <c r="I20" i="7"/>
  <c r="I18" i="7"/>
  <c r="I12" i="7"/>
  <c r="I27" i="7"/>
  <c r="I25" i="7"/>
  <c r="I24" i="7"/>
  <c r="I21" i="7"/>
  <c r="I19" i="7"/>
  <c r="I15" i="7"/>
  <c r="I14" i="7"/>
  <c r="I13" i="7"/>
  <c r="I11" i="7"/>
  <c r="I10" i="7"/>
  <c r="I9" i="7" l="1"/>
  <c r="E9" i="7" s="1"/>
  <c r="I44" i="7" s="1"/>
  <c r="I130" i="7"/>
  <c r="I29" i="8"/>
  <c r="F9" i="7" l="1"/>
  <c r="F28" i="8" l="1"/>
  <c r="G28" i="8" s="1"/>
  <c r="E27" i="8"/>
  <c r="E26" i="8"/>
  <c r="I56" i="7" l="1"/>
  <c r="E55" i="7" s="1"/>
  <c r="I40" i="7" l="1"/>
  <c r="I41" i="7"/>
  <c r="I42" i="7" s="1"/>
  <c r="F55" i="7"/>
  <c r="G55" i="7" s="1"/>
  <c r="E23" i="8"/>
  <c r="F23" i="8" s="1"/>
  <c r="I94" i="7" l="1"/>
  <c r="C12" i="6" l="1"/>
  <c r="I88" i="7" l="1"/>
  <c r="E57" i="7" l="1"/>
  <c r="I138" i="7"/>
  <c r="I145" i="7" l="1"/>
  <c r="F157" i="7" l="1"/>
  <c r="I61" i="7"/>
  <c r="E60" i="7" s="1"/>
  <c r="I101" i="7"/>
  <c r="I48" i="7"/>
  <c r="I93" i="7"/>
  <c r="I43" i="7" l="1"/>
  <c r="F28" i="7"/>
  <c r="E142" i="7"/>
  <c r="I151" i="7"/>
  <c r="I132" i="7"/>
  <c r="I129" i="7"/>
  <c r="E128" i="7" s="1"/>
  <c r="I121" i="7"/>
  <c r="I120" i="7"/>
  <c r="I118" i="7"/>
  <c r="I117" i="7"/>
  <c r="D16" i="6"/>
  <c r="C16" i="6"/>
  <c r="D4" i="6"/>
  <c r="C4" i="6"/>
  <c r="D4" i="7"/>
  <c r="E4" i="7"/>
  <c r="E116" i="7" l="1"/>
  <c r="E39" i="7"/>
  <c r="I69" i="7"/>
  <c r="I127" i="7"/>
  <c r="E124" i="7" s="1"/>
  <c r="I92" i="7"/>
  <c r="E91" i="7" s="1"/>
  <c r="F91" i="7" s="1"/>
  <c r="F124" i="7" l="1"/>
  <c r="I25" i="8"/>
  <c r="G124" i="7" l="1"/>
  <c r="C22" i="6" l="1"/>
  <c r="B22" i="6" l="1"/>
  <c r="A22" i="6"/>
  <c r="A20" i="6"/>
  <c r="C18" i="6"/>
  <c r="B18" i="6"/>
  <c r="A18" i="6"/>
  <c r="E24" i="8"/>
  <c r="E22" i="8" s="1"/>
  <c r="B12" i="6"/>
  <c r="I87" i="7"/>
  <c r="I86" i="7" l="1"/>
  <c r="E85" i="7" s="1"/>
  <c r="I103" i="7" l="1"/>
  <c r="I100" i="7"/>
  <c r="E106" i="7"/>
  <c r="E99" i="7" l="1"/>
  <c r="I68" i="7" l="1"/>
  <c r="E159" i="7" l="1"/>
  <c r="I35" i="8"/>
  <c r="E7" i="8" l="1"/>
  <c r="E9" i="8" l="1"/>
  <c r="I65" i="7" l="1"/>
  <c r="I152" i="7"/>
  <c r="E150" i="7" s="1"/>
  <c r="D22" i="6" l="1"/>
  <c r="E22" i="6" s="1"/>
  <c r="D6" i="2"/>
  <c r="E6" i="2" s="1"/>
  <c r="F154" i="7"/>
  <c r="I81" i="7" l="1"/>
  <c r="I149" i="7" l="1"/>
  <c r="I17" i="8" l="1"/>
  <c r="E15" i="8" l="1"/>
  <c r="I110" i="7" l="1"/>
  <c r="E109" i="7" l="1"/>
  <c r="E21" i="8" l="1"/>
  <c r="D8" i="2" s="1"/>
  <c r="I146" i="7" l="1"/>
  <c r="E82" i="7" l="1"/>
  <c r="D9" i="2"/>
  <c r="D12" i="6" l="1"/>
  <c r="E12" i="6" s="1"/>
  <c r="I147" i="7" l="1"/>
  <c r="E144" i="7" s="1"/>
  <c r="F39" i="7" l="1"/>
  <c r="I46" i="7"/>
  <c r="E45" i="7" s="1"/>
  <c r="I67" i="7"/>
  <c r="I66" i="7"/>
  <c r="I73" i="7"/>
  <c r="E72" i="7" s="1"/>
  <c r="I76" i="7"/>
  <c r="E75" i="7" s="1"/>
  <c r="I154" i="7"/>
  <c r="E62" i="7" l="1"/>
  <c r="F62" i="7" s="1"/>
  <c r="E153" i="7"/>
  <c r="G39" i="7"/>
  <c r="F37" i="7"/>
  <c r="G37" i="7" l="1"/>
  <c r="D23" i="2"/>
  <c r="D18" i="6"/>
  <c r="E18" i="6" s="1"/>
  <c r="G28" i="7" l="1"/>
  <c r="D17" i="2"/>
  <c r="F40" i="8"/>
  <c r="E39" i="8"/>
  <c r="E38" i="8" s="1"/>
  <c r="D11" i="2" s="1"/>
  <c r="E32" i="8"/>
  <c r="F27" i="8"/>
  <c r="G27" i="8" s="1"/>
  <c r="F26" i="8"/>
  <c r="G26" i="8" s="1"/>
  <c r="F24" i="8"/>
  <c r="G24" i="8" s="1"/>
  <c r="F22" i="8"/>
  <c r="G22" i="8" s="1"/>
  <c r="F21" i="8"/>
  <c r="G21" i="8" s="1"/>
  <c r="F14" i="8"/>
  <c r="E114" i="7"/>
  <c r="D22" i="2" l="1"/>
  <c r="G40" i="8"/>
  <c r="G9" i="7"/>
  <c r="D18" i="2"/>
  <c r="E18" i="2" s="1"/>
  <c r="D21" i="2"/>
  <c r="F116" i="7"/>
  <c r="F128" i="7"/>
  <c r="F45" i="7"/>
  <c r="E31" i="8"/>
  <c r="E30" i="8" s="1"/>
  <c r="F32" i="8"/>
  <c r="G32" i="8" s="1"/>
  <c r="F15" i="8"/>
  <c r="F9" i="8"/>
  <c r="G9" i="8" s="1"/>
  <c r="E8" i="8"/>
  <c r="F39" i="8"/>
  <c r="G39" i="8" s="1"/>
  <c r="F57" i="7"/>
  <c r="F109" i="7"/>
  <c r="G109" i="7" s="1"/>
  <c r="F142" i="7"/>
  <c r="F51" i="7"/>
  <c r="F114" i="7"/>
  <c r="F139" i="7"/>
  <c r="F153" i="7"/>
  <c r="G153" i="7" s="1"/>
  <c r="F159" i="7"/>
  <c r="G159" i="7" s="1"/>
  <c r="F60" i="7"/>
  <c r="F106" i="7"/>
  <c r="G139" i="7" l="1"/>
  <c r="G60" i="7"/>
  <c r="G114" i="7"/>
  <c r="G142" i="7"/>
  <c r="G116" i="7"/>
  <c r="G45" i="7"/>
  <c r="G51" i="7"/>
  <c r="G91" i="7"/>
  <c r="G128" i="7"/>
  <c r="G57" i="7"/>
  <c r="G106" i="7"/>
  <c r="G157" i="7"/>
  <c r="G15" i="8"/>
  <c r="D10" i="2"/>
  <c r="D24" i="2"/>
  <c r="E24" i="2" s="1"/>
  <c r="E16" i="2" s="1"/>
  <c r="D20" i="2"/>
  <c r="G155" i="7"/>
  <c r="F156" i="7"/>
  <c r="G156" i="7" s="1"/>
  <c r="F30" i="8"/>
  <c r="G30" i="8" s="1"/>
  <c r="F38" i="8"/>
  <c r="G38" i="8" s="1"/>
  <c r="F82" i="7"/>
  <c r="F75" i="7"/>
  <c r="F50" i="7"/>
  <c r="G50" i="7" s="1"/>
  <c r="F99" i="7"/>
  <c r="F72" i="7"/>
  <c r="G72" i="7" s="1"/>
  <c r="F150" i="7"/>
  <c r="G150" i="7" s="1"/>
  <c r="F34" i="8"/>
  <c r="G34" i="8" s="1"/>
  <c r="F144" i="7"/>
  <c r="F85" i="7"/>
  <c r="F8" i="8"/>
  <c r="G8" i="8" s="1"/>
  <c r="E11" i="8"/>
  <c r="D7" i="2" s="1"/>
  <c r="F12" i="8"/>
  <c r="G12" i="8" s="1"/>
  <c r="F31" i="8"/>
  <c r="G31" i="8" s="1"/>
  <c r="F105" i="7"/>
  <c r="G75" i="7" l="1"/>
  <c r="G82" i="7"/>
  <c r="G62" i="7"/>
  <c r="G144" i="7"/>
  <c r="G99" i="7"/>
  <c r="G104" i="7"/>
  <c r="G105" i="7"/>
  <c r="G85" i="7"/>
  <c r="E6" i="8"/>
  <c r="D5" i="2"/>
  <c r="D19" i="2"/>
  <c r="D16" i="2" s="1"/>
  <c r="F141" i="7"/>
  <c r="G141" i="7" s="1"/>
  <c r="F90" i="7"/>
  <c r="G90" i="7" s="1"/>
  <c r="F113" i="7"/>
  <c r="G113" i="7" s="1"/>
  <c r="F8" i="7"/>
  <c r="G8" i="7" s="1"/>
  <c r="F59" i="7"/>
  <c r="G59" i="7" s="1"/>
  <c r="F7" i="8"/>
  <c r="G7" i="8" s="1"/>
  <c r="F11" i="8"/>
  <c r="G11" i="8" s="1"/>
  <c r="E6" i="7" l="1"/>
  <c r="F89" i="7"/>
  <c r="G89" i="7" s="1"/>
  <c r="F104" i="7"/>
  <c r="F7" i="7"/>
  <c r="G7" i="7" s="1"/>
  <c r="F6" i="8"/>
  <c r="G6" i="8" s="1"/>
  <c r="F6" i="7" l="1"/>
  <c r="G6" i="7" s="1"/>
  <c r="E11" i="2" l="1"/>
  <c r="E10" i="2"/>
  <c r="E9" i="2"/>
  <c r="E8" i="2"/>
  <c r="E7" i="2"/>
  <c r="E5" i="2" l="1"/>
</calcChain>
</file>

<file path=xl/sharedStrings.xml><?xml version="1.0" encoding="utf-8"?>
<sst xmlns="http://schemas.openxmlformats.org/spreadsheetml/2006/main" count="382" uniqueCount="286">
  <si>
    <t>사회복지법인 무일복지재단</t>
    <phoneticPr fontId="2" type="noConversion"/>
  </si>
  <si>
    <t>세                  입</t>
    <phoneticPr fontId="2" type="noConversion"/>
  </si>
  <si>
    <t>관</t>
    <phoneticPr fontId="2" type="noConversion"/>
  </si>
  <si>
    <t>항</t>
    <phoneticPr fontId="2" type="noConversion"/>
  </si>
  <si>
    <t>증 감(B-A)</t>
    <phoneticPr fontId="2" type="noConversion"/>
  </si>
  <si>
    <t>총        계</t>
    <phoneticPr fontId="2" type="noConversion"/>
  </si>
  <si>
    <t>세                    출</t>
    <phoneticPr fontId="2" type="noConversion"/>
  </si>
  <si>
    <t>관</t>
    <phoneticPr fontId="2" type="noConversion"/>
  </si>
  <si>
    <t>항</t>
    <phoneticPr fontId="2" type="noConversion"/>
  </si>
  <si>
    <t>증 감(B-A)</t>
    <phoneticPr fontId="2" type="noConversion"/>
  </si>
  <si>
    <t>총       계</t>
    <phoneticPr fontId="2" type="noConversion"/>
  </si>
  <si>
    <t xml:space="preserve"> 예  산  총  칙</t>
    <phoneticPr fontId="2" type="noConversion"/>
  </si>
  <si>
    <t xml:space="preserve">                (단위: 원)</t>
    <phoneticPr fontId="2" type="noConversion"/>
  </si>
  <si>
    <t>과목</t>
    <phoneticPr fontId="2" type="noConversion"/>
  </si>
  <si>
    <t>산출근거</t>
    <phoneticPr fontId="2" type="noConversion"/>
  </si>
  <si>
    <t xml:space="preserve">관 </t>
    <phoneticPr fontId="2" type="noConversion"/>
  </si>
  <si>
    <t xml:space="preserve">항 </t>
    <phoneticPr fontId="2" type="noConversion"/>
  </si>
  <si>
    <t>목</t>
    <phoneticPr fontId="2" type="noConversion"/>
  </si>
  <si>
    <t>%</t>
    <phoneticPr fontId="2" type="noConversion"/>
  </si>
  <si>
    <t xml:space="preserve">이월금 </t>
    <phoneticPr fontId="2" type="noConversion"/>
  </si>
  <si>
    <t xml:space="preserve">전년도이월금 </t>
    <phoneticPr fontId="2" type="noConversion"/>
  </si>
  <si>
    <t>잡수입</t>
    <phoneticPr fontId="2" type="noConversion"/>
  </si>
  <si>
    <t>사무비</t>
    <phoneticPr fontId="2" type="noConversion"/>
  </si>
  <si>
    <t>인건비</t>
    <phoneticPr fontId="2" type="noConversion"/>
  </si>
  <si>
    <t>재산조성비</t>
    <phoneticPr fontId="2" type="noConversion"/>
  </si>
  <si>
    <t>시설비</t>
    <phoneticPr fontId="2" type="noConversion"/>
  </si>
  <si>
    <t>자산취득비</t>
    <phoneticPr fontId="2" type="noConversion"/>
  </si>
  <si>
    <t>입소자부담금수입</t>
    <phoneticPr fontId="2" type="noConversion"/>
  </si>
  <si>
    <t>입소비용수입</t>
    <phoneticPr fontId="2" type="noConversion"/>
  </si>
  <si>
    <t>보조금수입</t>
    <phoneticPr fontId="2" type="noConversion"/>
  </si>
  <si>
    <t>후원금수입</t>
    <phoneticPr fontId="2" type="noConversion"/>
  </si>
  <si>
    <t>지정후원금</t>
    <phoneticPr fontId="2" type="noConversion"/>
  </si>
  <si>
    <t>비지정후원금</t>
    <phoneticPr fontId="2" type="noConversion"/>
  </si>
  <si>
    <t>기타잡수입</t>
    <phoneticPr fontId="2" type="noConversion"/>
  </si>
  <si>
    <t>전입금</t>
    <phoneticPr fontId="2" type="noConversion"/>
  </si>
  <si>
    <t>경상보조금수입</t>
    <phoneticPr fontId="2" type="noConversion"/>
  </si>
  <si>
    <t>급여</t>
    <phoneticPr fontId="2" type="noConversion"/>
  </si>
  <si>
    <t>급여(기본급)</t>
    <phoneticPr fontId="2" type="noConversion"/>
  </si>
  <si>
    <t>제수당</t>
    <phoneticPr fontId="2" type="noConversion"/>
  </si>
  <si>
    <t>사회보험부담금</t>
    <phoneticPr fontId="2" type="noConversion"/>
  </si>
  <si>
    <t>사회보험부담비용</t>
    <phoneticPr fontId="2" type="noConversion"/>
  </si>
  <si>
    <t>기타후생경비</t>
    <phoneticPr fontId="2" type="noConversion"/>
  </si>
  <si>
    <t>업무추진비</t>
    <phoneticPr fontId="2" type="noConversion"/>
  </si>
  <si>
    <t>기관운영비</t>
    <phoneticPr fontId="2" type="noConversion"/>
  </si>
  <si>
    <t>회의비</t>
    <phoneticPr fontId="2" type="noConversion"/>
  </si>
  <si>
    <t>운영비</t>
    <phoneticPr fontId="2" type="noConversion"/>
  </si>
  <si>
    <t>여비</t>
    <phoneticPr fontId="2" type="noConversion"/>
  </si>
  <si>
    <t>수용비 및 수수료</t>
    <phoneticPr fontId="2" type="noConversion"/>
  </si>
  <si>
    <t>공공요금</t>
    <phoneticPr fontId="2" type="noConversion"/>
  </si>
  <si>
    <t>제세공과금</t>
    <phoneticPr fontId="2" type="noConversion"/>
  </si>
  <si>
    <t>차량비</t>
    <phoneticPr fontId="2" type="noConversion"/>
  </si>
  <si>
    <t>기타운영비</t>
    <phoneticPr fontId="2" type="noConversion"/>
  </si>
  <si>
    <t>사업비</t>
    <phoneticPr fontId="2" type="noConversion"/>
  </si>
  <si>
    <t>생계비</t>
    <phoneticPr fontId="2" type="noConversion"/>
  </si>
  <si>
    <t>수용기관경비</t>
    <phoneticPr fontId="2" type="noConversion"/>
  </si>
  <si>
    <t>기능회복훈련사업비</t>
    <phoneticPr fontId="2" type="noConversion"/>
  </si>
  <si>
    <t>간호 및 처치사업비</t>
    <phoneticPr fontId="2" type="noConversion"/>
  </si>
  <si>
    <t>일반사업비</t>
    <phoneticPr fontId="2" type="noConversion"/>
  </si>
  <si>
    <t>홍보출판사업비</t>
    <phoneticPr fontId="2" type="noConversion"/>
  </si>
  <si>
    <t>직원연수교육비</t>
    <phoneticPr fontId="2" type="noConversion"/>
  </si>
  <si>
    <t>홍보출판비</t>
    <phoneticPr fontId="2" type="noConversion"/>
  </si>
  <si>
    <t>직원연수 및 교육비</t>
    <phoneticPr fontId="2" type="noConversion"/>
  </si>
  <si>
    <t>자원봉사자 및 후원자 관리비</t>
    <phoneticPr fontId="2" type="noConversion"/>
  </si>
  <si>
    <t>기타사업비</t>
    <phoneticPr fontId="2" type="noConversion"/>
  </si>
  <si>
    <t>예비비 및 기타</t>
    <phoneticPr fontId="2" type="noConversion"/>
  </si>
  <si>
    <t>예비비</t>
    <phoneticPr fontId="2" type="noConversion"/>
  </si>
  <si>
    <t>퇴직금 및 퇴직적립금</t>
    <phoneticPr fontId="2" type="noConversion"/>
  </si>
  <si>
    <t>*방범서비스료: 77,000원 x 12회</t>
    <phoneticPr fontId="2" type="noConversion"/>
  </si>
  <si>
    <t>봉사자 및 후원자 관리비</t>
    <phoneticPr fontId="2" type="noConversion"/>
  </si>
  <si>
    <t>참좋은기억학교</t>
    <phoneticPr fontId="2" type="noConversion"/>
  </si>
  <si>
    <t>입소비용수입</t>
    <phoneticPr fontId="2" type="noConversion"/>
  </si>
  <si>
    <t>보 조 금 수 입</t>
    <phoneticPr fontId="2" type="noConversion"/>
  </si>
  <si>
    <t>보 조 금 수 입</t>
    <phoneticPr fontId="2" type="noConversion"/>
  </si>
  <si>
    <t>후 원 금 수 입</t>
    <phoneticPr fontId="2" type="noConversion"/>
  </si>
  <si>
    <t>후 원 금 수 입</t>
    <phoneticPr fontId="2" type="noConversion"/>
  </si>
  <si>
    <t>전     입     금</t>
    <phoneticPr fontId="2" type="noConversion"/>
  </si>
  <si>
    <t>잡     수     입</t>
    <phoneticPr fontId="2" type="noConversion"/>
  </si>
  <si>
    <t>이     월     금</t>
    <phoneticPr fontId="2" type="noConversion"/>
  </si>
  <si>
    <t>(단위 : 원)</t>
    <phoneticPr fontId="2" type="noConversion"/>
  </si>
  <si>
    <t>사     무     비</t>
    <phoneticPr fontId="5" type="noConversion"/>
  </si>
  <si>
    <t>인     건     비</t>
    <phoneticPr fontId="5" type="noConversion"/>
  </si>
  <si>
    <t>운     영     비</t>
    <phoneticPr fontId="2" type="noConversion"/>
  </si>
  <si>
    <t>업 무 추 진 비</t>
    <phoneticPr fontId="2" type="noConversion"/>
  </si>
  <si>
    <t>재 산 조 성 비</t>
    <phoneticPr fontId="2" type="noConversion"/>
  </si>
  <si>
    <t>시     설     비</t>
    <phoneticPr fontId="2" type="noConversion"/>
  </si>
  <si>
    <t>사     업     비</t>
    <phoneticPr fontId="2" type="noConversion"/>
  </si>
  <si>
    <t>예비비 및 기타</t>
    <phoneticPr fontId="2" type="noConversion"/>
  </si>
  <si>
    <t>일 반 사 업 비</t>
    <phoneticPr fontId="2" type="noConversion"/>
  </si>
  <si>
    <t>증감(B-A)</t>
    <phoneticPr fontId="2" type="noConversion"/>
  </si>
  <si>
    <t>기타예금이자수입</t>
    <phoneticPr fontId="2" type="noConversion"/>
  </si>
  <si>
    <t>6. 보편적으로 발생하는 지출에 있어서는 세출예산에도 불구하고 초과 집행하고 차기 이사회에서</t>
    <phoneticPr fontId="2" type="noConversion"/>
  </si>
  <si>
    <t xml:space="preserve">    있다.</t>
    <phoneticPr fontId="2" type="noConversion"/>
  </si>
  <si>
    <t>시설장비유지비</t>
    <phoneticPr fontId="2" type="noConversion"/>
  </si>
  <si>
    <t>4. 사업수입(본인부담금), 국시비보조금, 후원금 등의 세입이 감소할 경우 기존사업을 축소할 수 있다.</t>
    <phoneticPr fontId="2" type="noConversion"/>
  </si>
  <si>
    <t xml:space="preserve">   추가경정 예산을 승인 받을 수 있다.</t>
    <phoneticPr fontId="2" type="noConversion"/>
  </si>
  <si>
    <t>재활프로그램사업비</t>
    <phoneticPr fontId="2" type="noConversion"/>
  </si>
  <si>
    <t>일상생활지원사업비</t>
    <phoneticPr fontId="2" type="noConversion"/>
  </si>
  <si>
    <t>특별사업지원사업비</t>
    <phoneticPr fontId="2" type="noConversion"/>
  </si>
  <si>
    <t>간호및처치사업비</t>
    <phoneticPr fontId="2" type="noConversion"/>
  </si>
  <si>
    <t>상담사업비</t>
    <phoneticPr fontId="2" type="noConversion"/>
  </si>
  <si>
    <t xml:space="preserve">5. 사업수입(본인부담금),국시비보조금, 후원금등의 세입이 증가 할 경우 세입세출예산을 초과할  </t>
    <phoneticPr fontId="2" type="noConversion"/>
  </si>
  <si>
    <t xml:space="preserve">   수 있다.</t>
    <phoneticPr fontId="2" type="noConversion"/>
  </si>
  <si>
    <t>7. 세출예산에서 초과지출이 발생할 경우에 동일관 내의 목간전용으로 부족한 예산을 집행할 수가</t>
    <phoneticPr fontId="2" type="noConversion"/>
  </si>
  <si>
    <t>*신원보증보험: 50,000원 x 2명</t>
    <phoneticPr fontId="2" type="noConversion"/>
  </si>
  <si>
    <t>*기타수용비 및 인쇄비: 300,000원 x 4회</t>
    <phoneticPr fontId="2" type="noConversion"/>
  </si>
  <si>
    <t>전년도이월금</t>
    <phoneticPr fontId="2" type="noConversion"/>
  </si>
  <si>
    <t>시군구보조금수입</t>
    <phoneticPr fontId="2" type="noConversion"/>
  </si>
  <si>
    <t>국고보조금수입</t>
    <phoneticPr fontId="2" type="noConversion"/>
  </si>
  <si>
    <t>국고보조금</t>
    <phoneticPr fontId="2" type="noConversion"/>
  </si>
  <si>
    <t>시도보조금</t>
    <phoneticPr fontId="2" type="noConversion"/>
  </si>
  <si>
    <t>시군구보조금</t>
    <phoneticPr fontId="2" type="noConversion"/>
  </si>
  <si>
    <t>*인터넷 사용료 및 전화료: 70,000원 x 12월</t>
    <phoneticPr fontId="2" type="noConversion"/>
  </si>
  <si>
    <t>*시설건물관리비: 500,000원 x 12회</t>
    <phoneticPr fontId="2" type="noConversion"/>
  </si>
  <si>
    <t>반환금</t>
    <phoneticPr fontId="2" type="noConversion"/>
  </si>
  <si>
    <t>■ 사업장명 : 참좋은기억학교</t>
  </si>
  <si>
    <t>○ 세입의 주요내용</t>
    <phoneticPr fontId="2" type="noConversion"/>
  </si>
  <si>
    <t xml:space="preserve">  (단위: 원)</t>
    <phoneticPr fontId="2" type="noConversion"/>
  </si>
  <si>
    <t xml:space="preserve">○ 세출의 주요내용 </t>
    <phoneticPr fontId="2" type="noConversion"/>
  </si>
  <si>
    <t>3. 본 예산은 사회복지법인 재무회계규칙 제 2장 예산과 결산에 의거 편성하며 집행한다.</t>
    <phoneticPr fontId="2" type="noConversion"/>
  </si>
  <si>
    <t>*기타사업 및 교구구입비: 100,000원 x 2회</t>
    <phoneticPr fontId="2" type="noConversion"/>
  </si>
  <si>
    <t>*송영차량구입 월할부금(쉐보레 스파크): 238,333원 x 12회</t>
    <phoneticPr fontId="2" type="noConversion"/>
  </si>
  <si>
    <t xml:space="preserve"> </t>
    <phoneticPr fontId="2" type="noConversion"/>
  </si>
  <si>
    <t>*사무기기(데스크탑 등) 렌탈이용료: 204,600원 x 12회</t>
    <phoneticPr fontId="2" type="noConversion"/>
  </si>
  <si>
    <t>*사회복지사 보수교육: 28,000원 x 6명</t>
    <phoneticPr fontId="2" type="noConversion"/>
  </si>
  <si>
    <t>*자동차세 外: 80,000원 x 3대</t>
    <phoneticPr fontId="2" type="noConversion"/>
  </si>
  <si>
    <t>*치매예방체조 外: 50,000원 x 4회</t>
    <phoneticPr fontId="2" type="noConversion"/>
  </si>
  <si>
    <t>*수용기관경비: 100,000원 x 2회</t>
    <phoneticPr fontId="2" type="noConversion"/>
  </si>
  <si>
    <t>*시군구보조금(관리운영비): 5,500,000원 x 4분기</t>
    <phoneticPr fontId="2" type="noConversion"/>
  </si>
  <si>
    <t>시도보조금수입</t>
    <phoneticPr fontId="2" type="noConversion"/>
  </si>
  <si>
    <t>*기타 교육 등: 30,000원 x 4회</t>
    <phoneticPr fontId="2" type="noConversion"/>
  </si>
  <si>
    <t>*자원봉사자 관리비: 200,000원 x 4회</t>
    <phoneticPr fontId="2" type="noConversion"/>
  </si>
  <si>
    <t>*간호조무사 보수교육: 35,000원 x 1명</t>
    <phoneticPr fontId="2" type="noConversion"/>
  </si>
  <si>
    <t>*잡수입(직원식대): 500,000원 x 12월</t>
    <phoneticPr fontId="2" type="noConversion"/>
  </si>
  <si>
    <t>*냉난방기 유지관리비 外: 100,000원 x 1회</t>
    <phoneticPr fontId="2" type="noConversion"/>
  </si>
  <si>
    <t>*직원식대비: 500,000원 x 12월</t>
    <phoneticPr fontId="2" type="noConversion"/>
  </si>
  <si>
    <t>*직원상용피복비: 100,000원 x 9명</t>
    <phoneticPr fontId="2" type="noConversion"/>
  </si>
  <si>
    <t>*노후비품 교체 자산취득비: 300,000원 x 4회</t>
    <phoneticPr fontId="2" type="noConversion"/>
  </si>
  <si>
    <t>*시사교실: 51,000원 x 4회</t>
    <phoneticPr fontId="2" type="noConversion"/>
  </si>
  <si>
    <t xml:space="preserve">*기관 소독 및 방역비: 30,000원 x 6회 </t>
    <phoneticPr fontId="2" type="noConversion"/>
  </si>
  <si>
    <t>액수(C)</t>
    <phoneticPr fontId="2" type="noConversion"/>
  </si>
  <si>
    <t>*원예교실: 100,000원 x 12회</t>
    <phoneticPr fontId="2" type="noConversion"/>
  </si>
  <si>
    <t>*미술교실: 100,000원 x 6회</t>
    <phoneticPr fontId="2" type="noConversion"/>
  </si>
  <si>
    <t>*놀이교실: 50,000원 x 2회</t>
    <phoneticPr fontId="2" type="noConversion"/>
  </si>
  <si>
    <t>*문학교실: 20,000원 x 2회</t>
    <phoneticPr fontId="2" type="noConversion"/>
  </si>
  <si>
    <t>*생신잔치: 50,000원 x 12회</t>
    <phoneticPr fontId="2" type="noConversion"/>
  </si>
  <si>
    <t>*나들이행사(소규모): 150,000원 x 2회</t>
    <phoneticPr fontId="2" type="noConversion"/>
  </si>
  <si>
    <t>*명절선물 및 포상 등: 300,000원 x 2회</t>
    <phoneticPr fontId="2" type="noConversion"/>
  </si>
  <si>
    <t>기능회복지원사업비</t>
    <phoneticPr fontId="2" type="noConversion"/>
  </si>
  <si>
    <t>*주방비품 교체 자산취득비: 1,800,000원 x 2회</t>
    <phoneticPr fontId="2" type="noConversion"/>
  </si>
  <si>
    <t>*종사자 독감예방주사: 30,000원 x 9회</t>
    <phoneticPr fontId="2" type="noConversion"/>
  </si>
  <si>
    <t>■ 사업장명: 참좋은기억학교</t>
  </si>
  <si>
    <t>*기타 시설장비유지비: 100,000원 x 1회</t>
  </si>
  <si>
    <t>*주방 닥트청소 및 유지관리비: 1,500,000원 x 1회</t>
    <phoneticPr fontId="2" type="noConversion"/>
  </si>
  <si>
    <t>*여비: 50,000원 x 6회</t>
    <phoneticPr fontId="2" type="noConversion"/>
  </si>
  <si>
    <t>*특별행사PG: 150,000원 x 2회</t>
    <phoneticPr fontId="2" type="noConversion"/>
  </si>
  <si>
    <t>*기타운영비: 100,000원 x 5회</t>
    <phoneticPr fontId="2" type="noConversion"/>
  </si>
  <si>
    <t>이월금</t>
    <phoneticPr fontId="2" type="noConversion"/>
  </si>
  <si>
    <t xml:space="preserve">2024년 참좋은기억학교 </t>
    <phoneticPr fontId="2" type="noConversion"/>
  </si>
  <si>
    <t>*직원연수: 200,000원 x 2회</t>
    <phoneticPr fontId="2" type="noConversion"/>
  </si>
  <si>
    <t>직책보조비</t>
    <phoneticPr fontId="2" type="noConversion"/>
  </si>
  <si>
    <t>*비지정후원금: 100,000원 * 9회</t>
  </si>
  <si>
    <t>직책보조비: 3,600,000원</t>
    <phoneticPr fontId="2" type="noConversion"/>
  </si>
  <si>
    <t>*직책보조비: 300,000원 x 12월 x 1명</t>
    <phoneticPr fontId="2" type="noConversion"/>
  </si>
  <si>
    <t>법인전입금(후원금)</t>
    <phoneticPr fontId="2" type="noConversion"/>
  </si>
  <si>
    <t>*법인전입금(후원금)</t>
    <phoneticPr fontId="2" type="noConversion"/>
  </si>
  <si>
    <t>*생신선물 구입: 230,800원 x 1회</t>
    <phoneticPr fontId="2" type="noConversion"/>
  </si>
  <si>
    <t>*시설장(16호봉): 3,747,00원 x 1월 x 1명</t>
    <phoneticPr fontId="2" type="noConversion"/>
  </si>
  <si>
    <t>*시설장(17호봉): 4,203,800원 x 11월 x 1명</t>
    <phoneticPr fontId="2" type="noConversion"/>
  </si>
  <si>
    <t>*선임사회복지사1(9호봉): 2,849,300원 x 9월 x 1명</t>
    <phoneticPr fontId="2" type="noConversion"/>
  </si>
  <si>
    <t>*선임사회복지사1(10호봉): 2,943,000원 x 3월 x 1명</t>
    <phoneticPr fontId="2" type="noConversion"/>
  </si>
  <si>
    <t>*사회복지사2(3호봉): 2,219,800원 x 2월 x 1명</t>
    <phoneticPr fontId="2" type="noConversion"/>
  </si>
  <si>
    <t>*사회복지사2(4호봉): 2,262,000원 x 10월 x 1명</t>
    <phoneticPr fontId="2" type="noConversion"/>
  </si>
  <si>
    <t>*사회복지사4(9호봉): 2,659,800원 x 8월 x 1명</t>
    <phoneticPr fontId="2" type="noConversion"/>
  </si>
  <si>
    <t>*사회복지사4(10호봉): 2,740,100원 x 4월 x 1명</t>
    <phoneticPr fontId="2" type="noConversion"/>
  </si>
  <si>
    <t>*사회복지사5(7호봉): 2,470,200원 x 8월 x 1명</t>
    <phoneticPr fontId="2" type="noConversion"/>
  </si>
  <si>
    <t>*사회복지사5(8호봉): 2,567,900원 x 4월 x 1명</t>
    <phoneticPr fontId="2" type="noConversion"/>
  </si>
  <si>
    <t>*사무원(3호봉): 2,190,200원 x 8월 x 1명</t>
    <phoneticPr fontId="2" type="noConversion"/>
  </si>
  <si>
    <t>*간호조무사(연봉제): 2,115,000원 x 12월 x 1명</t>
    <phoneticPr fontId="2" type="noConversion"/>
  </si>
  <si>
    <t>*조리사(연봉제): 1,600,000원 x 12월 x 1명</t>
    <phoneticPr fontId="2" type="noConversion"/>
  </si>
  <si>
    <t>*명절상여금: 27,169,440원</t>
    <phoneticPr fontId="2" type="noConversion"/>
  </si>
  <si>
    <t>명절상여금: 13,584,720원 x 2회</t>
    <phoneticPr fontId="2" type="noConversion"/>
  </si>
  <si>
    <t>가족수당: 840,000원 x 4분기</t>
    <phoneticPr fontId="2" type="noConversion"/>
  </si>
  <si>
    <t>*가족수당: 3,360,000원</t>
    <phoneticPr fontId="2" type="noConversion"/>
  </si>
  <si>
    <t>*기억학교 10주년 기념행사: 180,000원 x 1회</t>
    <phoneticPr fontId="2" type="noConversion"/>
  </si>
  <si>
    <t>*어버이날행사: 470,800원 x 1회</t>
    <phoneticPr fontId="2" type="noConversion"/>
  </si>
  <si>
    <t>*설,추석행사: 480,000원 x 2회</t>
    <phoneticPr fontId="2" type="noConversion"/>
  </si>
  <si>
    <t>*기타예금이자수입: 10,000원 * 2회</t>
    <phoneticPr fontId="2" type="noConversion"/>
  </si>
  <si>
    <t>*전년도이월금(사업수입): 22,802,901원 x 1회</t>
    <phoneticPr fontId="2" type="noConversion"/>
  </si>
  <si>
    <t>*전년도이월금(실습비수입): 637,079원 x 1회</t>
    <phoneticPr fontId="2" type="noConversion"/>
  </si>
  <si>
    <t>*전년도이월금(직원식대비): 286,796원 x 1회</t>
    <phoneticPr fontId="2" type="noConversion"/>
  </si>
  <si>
    <t>*전년도이월금(후원금): 476,051원 x 1회</t>
    <phoneticPr fontId="2" type="noConversion"/>
  </si>
  <si>
    <t>*기억학교 10주년 기념행사: 994,330원 x 1회</t>
    <phoneticPr fontId="2" type="noConversion"/>
  </si>
  <si>
    <t>*보호자 자조모임(상,하반기): 350,000원 x 2회</t>
    <phoneticPr fontId="2" type="noConversion"/>
  </si>
  <si>
    <t>*영업배상책임보험 外: 935,500원 x 1회</t>
    <phoneticPr fontId="2" type="noConversion"/>
  </si>
  <si>
    <t>*클레이교실: 100,000원 x 6회</t>
    <phoneticPr fontId="2" type="noConversion"/>
  </si>
  <si>
    <t>*사무원(4호봉): 2,232,900원 x 4월 x 1명</t>
    <phoneticPr fontId="2" type="noConversion"/>
  </si>
  <si>
    <t>*기관 배관 공사: 1,056,000원 x 2회</t>
    <phoneticPr fontId="2" type="noConversion"/>
  </si>
  <si>
    <t>*주방용품 집기구입: 250,000원 x 4회</t>
    <phoneticPr fontId="2" type="noConversion"/>
  </si>
  <si>
    <t>*종사자 복지포인트: 1,850,000원 x 1회</t>
    <phoneticPr fontId="2" type="noConversion"/>
  </si>
  <si>
    <t>*프로그램실 집기구입 자산취득비: 1,570,000원 x 1회</t>
    <phoneticPr fontId="2" type="noConversion"/>
  </si>
  <si>
    <t xml:space="preserve">*차량관리비 및 수리비: 300,000원 x 3대 x 4회 </t>
    <phoneticPr fontId="2" type="noConversion"/>
  </si>
  <si>
    <t>의료비</t>
    <phoneticPr fontId="2" type="noConversion"/>
  </si>
  <si>
    <t>의료비</t>
    <phoneticPr fontId="2" type="noConversion"/>
  </si>
  <si>
    <t>*상비약 등: 150,000원 x 2회</t>
    <phoneticPr fontId="2" type="noConversion"/>
  </si>
  <si>
    <t xml:space="preserve">시간외수당(월 5시간 x 8명 x 12월) </t>
    <phoneticPr fontId="2" type="noConversion"/>
  </si>
  <si>
    <t>*종사자 단체상해보험: 100,000원 x 1회</t>
    <phoneticPr fontId="2" type="noConversion"/>
  </si>
  <si>
    <t>*복날행사: 185,600원 x 1회</t>
    <phoneticPr fontId="2" type="noConversion"/>
  </si>
  <si>
    <t>*나들이행사(봄/가을): 807,200원 x 2회</t>
    <phoneticPr fontId="2" type="noConversion"/>
  </si>
  <si>
    <t>*시간외수당: 7,370,900원</t>
    <phoneticPr fontId="2" type="noConversion"/>
  </si>
  <si>
    <t>*사회복지사3(7호봉): 370,200원 x 2월 x 1명(출산휴가자)</t>
    <phoneticPr fontId="2" type="noConversion"/>
  </si>
  <si>
    <t>*퇴직적립금: 326,788,882원 / 12회</t>
    <phoneticPr fontId="2" type="noConversion"/>
  </si>
  <si>
    <t>*사회복지사3(7호봉): 2,470,200원 x 10월 x 1명</t>
    <phoneticPr fontId="2" type="noConversion"/>
  </si>
  <si>
    <t>2024. 12. 06.</t>
    <phoneticPr fontId="2" type="noConversion"/>
  </si>
  <si>
    <t>2024년 2차 추경
(A)</t>
    <phoneticPr fontId="2" type="noConversion"/>
  </si>
  <si>
    <t>2024년 3차 추경
(B)</t>
    <phoneticPr fontId="2" type="noConversion"/>
  </si>
  <si>
    <t>*시군구보조금(인건비): 92,008,750원 x 4분기</t>
    <phoneticPr fontId="2" type="noConversion"/>
  </si>
  <si>
    <t>기타보조금</t>
    <phoneticPr fontId="2" type="noConversion"/>
  </si>
  <si>
    <t>기타보조금수입</t>
    <phoneticPr fontId="2" type="noConversion"/>
  </si>
  <si>
    <t>*기능보강(차량지원사업): 40,000,000원 x 1회</t>
    <phoneticPr fontId="2" type="noConversion"/>
  </si>
  <si>
    <t>자격수당: 50,000원 x 3.5회 x 2명</t>
    <phoneticPr fontId="2" type="noConversion"/>
  </si>
  <si>
    <t>*사회복지사6(1호봉): 784,780원 x 1월 x 1명</t>
    <phoneticPr fontId="2" type="noConversion"/>
  </si>
  <si>
    <t xml:space="preserve">*사회복지사7(7호봉): 2,470,200 x 1월 x 1명 </t>
    <phoneticPr fontId="2" type="noConversion"/>
  </si>
  <si>
    <t>*국민연금: 315,374,020원 x 4.5%</t>
    <phoneticPr fontId="2" type="noConversion"/>
  </si>
  <si>
    <t>*건강보험: 315,374,020원 x 3.545%</t>
    <phoneticPr fontId="2" type="noConversion"/>
  </si>
  <si>
    <t>*장기요양보험: 11,180,009원 x 12.95%</t>
    <phoneticPr fontId="2" type="noConversion"/>
  </si>
  <si>
    <t>*고용보험: 261,785,220원 x 1.25%</t>
    <phoneticPr fontId="2" type="noConversion"/>
  </si>
  <si>
    <t>*산재보험: 261,785,220원  x 0.76%</t>
    <phoneticPr fontId="2" type="noConversion"/>
  </si>
  <si>
    <t>*자격수당: 350,000원</t>
    <phoneticPr fontId="2" type="noConversion"/>
  </si>
  <si>
    <t>*기타 복리후생경비: 50,000원 x 2회</t>
    <phoneticPr fontId="2" type="noConversion"/>
  </si>
  <si>
    <t>*기관운영비: 150,000원 x 4분기</t>
    <phoneticPr fontId="2" type="noConversion"/>
  </si>
  <si>
    <t>*회의비(운영위원회 등): 300,000원 x 2회</t>
    <phoneticPr fontId="2" type="noConversion"/>
  </si>
  <si>
    <t>*기능보강(차량지원사업) 지출: 625,000원 x 4회</t>
    <phoneticPr fontId="2" type="noConversion"/>
  </si>
  <si>
    <t>*차량보험료: 1,000,000원 x 4대</t>
    <phoneticPr fontId="2" type="noConversion"/>
  </si>
  <si>
    <t>*기타세금 및 각종 협회비: 300,000원 x 4회</t>
    <phoneticPr fontId="2" type="noConversion"/>
  </si>
  <si>
    <t>*유류대: 500,000원 x 12월(송영차량 4대)</t>
    <phoneticPr fontId="2" type="noConversion"/>
  </si>
  <si>
    <t>*기능보강(차량지원사업) 취등록세: 1,716,180 x 1회</t>
    <phoneticPr fontId="2" type="noConversion"/>
  </si>
  <si>
    <t>*기능보강(차량지원사업) 자산취득비: 36,504,990원 x 1회</t>
    <phoneticPr fontId="2" type="noConversion"/>
  </si>
  <si>
    <t>*홍보출판비: 250,000원 x 4회</t>
    <phoneticPr fontId="2" type="noConversion"/>
  </si>
  <si>
    <t>*간호처치 및 관리: 450,000원 x 4회</t>
    <phoneticPr fontId="2" type="noConversion"/>
  </si>
  <si>
    <t>*뷰티교실: 50,000원 x 1회</t>
    <phoneticPr fontId="2" type="noConversion"/>
  </si>
  <si>
    <t>*다도교실: 50,000원 x 10회</t>
    <phoneticPr fontId="2" type="noConversion"/>
  </si>
  <si>
    <t>*기능보강(환경개선사업) 자산취득비: 3,454,000원 x 1회</t>
    <phoneticPr fontId="2" type="noConversion"/>
  </si>
  <si>
    <t>*기능보강(환경개선사업): 4,988,500원 x 1회</t>
    <phoneticPr fontId="2" type="noConversion"/>
  </si>
  <si>
    <t>*기능보강(환경개선사업) 지출: 1,534,500 x 1회</t>
    <phoneticPr fontId="2" type="noConversion"/>
  </si>
  <si>
    <t>*노래자랑행사: 141,450원 x 1회</t>
    <phoneticPr fontId="2" type="noConversion"/>
  </si>
  <si>
    <t>*생계비: 2,500원 x 40명 x 244일</t>
    <phoneticPr fontId="2" type="noConversion"/>
  </si>
  <si>
    <t>*사무용품 및 집기구입: 350,000원 x 10회</t>
    <phoneticPr fontId="2" type="noConversion"/>
  </si>
  <si>
    <t>*전기,도시가스,상하수도 등: 500,000원 x 12월</t>
    <phoneticPr fontId="2" type="noConversion"/>
  </si>
  <si>
    <t>*프로그램실 에어컨 자산취득비: 7,484,000원 x 1회</t>
    <phoneticPr fontId="2" type="noConversion"/>
  </si>
  <si>
    <t>*기억학교 종사자 워크샵 참가비: 162,500원 x 4회</t>
    <phoneticPr fontId="2" type="noConversion"/>
  </si>
  <si>
    <t>*기타잡수입(사회복지실습 外): 150,000원 x 6회</t>
    <phoneticPr fontId="2" type="noConversion"/>
  </si>
  <si>
    <t>*김장비용: 800,000원 x 1회</t>
    <phoneticPr fontId="2" type="noConversion"/>
  </si>
  <si>
    <t>*실비수입(일1만원): 10,000원 x 25명 x 244일</t>
    <phoneticPr fontId="2" type="noConversion"/>
  </si>
  <si>
    <t>*기타잡수입: 241,673원 x 1회</t>
    <phoneticPr fontId="2" type="noConversion"/>
  </si>
  <si>
    <t>*반환금(보조금예금이자수입): 1,420,000원 x 1회</t>
    <phoneticPr fontId="2" type="noConversion"/>
  </si>
  <si>
    <r>
      <t xml:space="preserve">2. 세입.세출 예산 총액은 </t>
    </r>
    <r>
      <rPr>
        <b/>
        <u/>
        <sz val="12"/>
        <rFont val="굴림"/>
        <family val="3"/>
        <charset val="129"/>
      </rPr>
      <t>534,000,000원</t>
    </r>
    <r>
      <rPr>
        <sz val="12"/>
        <rFont val="굴림"/>
        <family val="3"/>
        <charset val="129"/>
      </rPr>
      <t>으로한다.</t>
    </r>
    <phoneticPr fontId="2" type="noConversion"/>
  </si>
  <si>
    <t>*결산에 따른 입소비용수입 감액 조정</t>
    <phoneticPr fontId="2" type="noConversion"/>
  </si>
  <si>
    <t>입소비용수입</t>
    <phoneticPr fontId="2" type="noConversion"/>
  </si>
  <si>
    <t>*기능보강사업 선정에 따른 증액 조정</t>
    <phoneticPr fontId="2" type="noConversion"/>
  </si>
  <si>
    <t>*기타 기관운영비: 105,000원 x 4분기</t>
    <phoneticPr fontId="2" type="noConversion"/>
  </si>
  <si>
    <t>*예비비: 197,293원 x 1회</t>
    <phoneticPr fontId="2" type="noConversion"/>
  </si>
  <si>
    <t>일상생활지원비</t>
    <phoneticPr fontId="2" type="noConversion"/>
  </si>
  <si>
    <t>재활프로그램사업비</t>
    <phoneticPr fontId="2" type="noConversion"/>
  </si>
  <si>
    <t>특별사업지원사업비</t>
    <phoneticPr fontId="2" type="noConversion"/>
  </si>
  <si>
    <t>간호및처치사업비</t>
    <phoneticPr fontId="2" type="noConversion"/>
  </si>
  <si>
    <t xml:space="preserve">*종사자 출산휴가 및 대체인력 입퇴사에 따른 감액 조정 </t>
    <phoneticPr fontId="2" type="noConversion"/>
  </si>
  <si>
    <t>*종사자 출산휴가 및 대체인력 입퇴사로 인한 감액 조정</t>
    <phoneticPr fontId="2" type="noConversion"/>
  </si>
  <si>
    <t>*지속적 차량 관리로 인한 차량관리비 및 수리비 감액조정</t>
    <phoneticPr fontId="2" type="noConversion"/>
  </si>
  <si>
    <t>*봉사자 활용 등 예산절감에 따른 감액 조정</t>
    <phoneticPr fontId="2" type="noConversion"/>
  </si>
  <si>
    <t>*지역사업 연계 등 예산절감에 따른 감액 조정</t>
    <phoneticPr fontId="2" type="noConversion"/>
  </si>
  <si>
    <t>*대기자 증가에 따른 감액 조정</t>
    <phoneticPr fontId="2" type="noConversion"/>
  </si>
  <si>
    <t>*반환금 증액 조정</t>
    <phoneticPr fontId="2" type="noConversion"/>
  </si>
  <si>
    <t>*예비비 증액 조정</t>
    <phoneticPr fontId="2" type="noConversion"/>
  </si>
  <si>
    <t>*이용자 증가에 따른 증액 조정</t>
    <phoneticPr fontId="2" type="noConversion"/>
  </si>
  <si>
    <t>*기타후생경비 예산 절감에 따른 감액 조정</t>
    <phoneticPr fontId="2" type="noConversion"/>
  </si>
  <si>
    <t>*기관운영비 예산 절감에 따른 감액 조정</t>
    <phoneticPr fontId="2" type="noConversion"/>
  </si>
  <si>
    <t>*회식비 예산 절감에 따른 감액 조정</t>
    <phoneticPr fontId="2" type="noConversion"/>
  </si>
  <si>
    <t>*후원품 수령 등 생계비 예산절감에 따른 감액 조정</t>
    <phoneticPr fontId="2" type="noConversion"/>
  </si>
  <si>
    <t>*기타잡수입 감액 조정</t>
    <phoneticPr fontId="2" type="noConversion"/>
  </si>
  <si>
    <t>결산 추경 세입.세출 예산(안)</t>
    <phoneticPr fontId="2" type="noConversion"/>
  </si>
  <si>
    <t>1. 참좋은기억학교의 2024년 결산 추경세입,세출은 다음과 같다.</t>
    <phoneticPr fontId="2" type="noConversion"/>
  </si>
  <si>
    <t>2024년 참좋은기억학교 결산 추경 예산 총괄내역서</t>
    <phoneticPr fontId="2" type="noConversion"/>
  </si>
  <si>
    <t>1) 2024년 참좋은기억학교 결산 추경 세입 예산 내역</t>
    <phoneticPr fontId="2" type="noConversion"/>
  </si>
  <si>
    <t>2) 2024년 참좋은기억학교 결산 추경 세출 예산 내역</t>
    <phoneticPr fontId="2" type="noConversion"/>
  </si>
  <si>
    <t>2024년 참좋은기억학교 결산 예산 증감사항 및 주요내용</t>
    <phoneticPr fontId="2" type="noConversion"/>
  </si>
  <si>
    <t>2024년 결산 추경
(B)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</si>
</sst>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1" formatCode="_-* #,##0_-;\-* #,##0_-;_-* &quot;-&quot;_-;_-@_-"/>
    <numFmt numFmtId="43" formatCode="_-* #,##0.00_-;\-* #,##0.00_-;_-* &quot;-&quot;??_-;_-@_-"/>
    <numFmt numFmtId="176" formatCode="#,##0_ "/>
    <numFmt numFmtId="177" formatCode="#,##0_);\(#,##0\)"/>
  </numFmts>
  <fonts count="25" x14ac:knownFonts="1">
    <font>
      <sz val="11"/>
      <name val="돋움"/>
      <family val="3"/>
      <charset val="129"/>
    </font>
    <font>
      <sz val="11"/>
      <name val="돋움"/>
      <family val="3"/>
      <charset val="129"/>
    </font>
    <font>
      <sz val="8"/>
      <name val="돋움"/>
      <family val="3"/>
      <charset val="129"/>
    </font>
    <font>
      <sz val="11"/>
      <name val="굴림"/>
      <family val="3"/>
      <charset val="129"/>
    </font>
    <font>
      <b/>
      <sz val="20"/>
      <name val="굴림"/>
      <family val="3"/>
      <charset val="129"/>
    </font>
    <font>
      <sz val="8"/>
      <name val="맑은 고딕"/>
      <family val="3"/>
      <charset val="129"/>
    </font>
    <font>
      <sz val="9"/>
      <name val="돋움"/>
      <family val="3"/>
      <charset val="129"/>
    </font>
    <font>
      <sz val="20"/>
      <name val="굴림"/>
      <family val="3"/>
      <charset val="129"/>
    </font>
    <font>
      <b/>
      <sz val="9"/>
      <name val="굴림"/>
      <family val="3"/>
      <charset val="129"/>
    </font>
    <font>
      <sz val="9"/>
      <name val="굴림"/>
      <family val="3"/>
      <charset val="129"/>
    </font>
    <font>
      <b/>
      <sz val="16"/>
      <name val="굴림"/>
      <family val="3"/>
      <charset val="129"/>
    </font>
    <font>
      <b/>
      <sz val="25"/>
      <name val="굴림"/>
      <family val="3"/>
      <charset val="129"/>
    </font>
    <font>
      <sz val="12"/>
      <name val="굴림"/>
      <family val="3"/>
      <charset val="129"/>
    </font>
    <font>
      <b/>
      <u/>
      <sz val="12"/>
      <name val="굴림"/>
      <family val="3"/>
      <charset val="129"/>
    </font>
    <font>
      <sz val="11"/>
      <color theme="1"/>
      <name val="맑은 고딕"/>
      <family val="3"/>
      <charset val="129"/>
      <scheme val="minor"/>
    </font>
    <font>
      <b/>
      <sz val="10"/>
      <name val="굴림"/>
      <family val="3"/>
      <charset val="129"/>
    </font>
    <font>
      <b/>
      <sz val="12"/>
      <name val="굴림"/>
      <family val="3"/>
      <charset val="129"/>
    </font>
    <font>
      <sz val="12"/>
      <color theme="1"/>
      <name val="굴림"/>
      <family val="3"/>
      <charset val="129"/>
    </font>
    <font>
      <sz val="11"/>
      <color theme="1"/>
      <name val="굴림"/>
      <family val="3"/>
      <charset val="129"/>
    </font>
    <font>
      <b/>
      <sz val="9"/>
      <color rgb="FF000000"/>
      <name val="굴림"/>
      <family val="3"/>
      <charset val="129"/>
    </font>
    <font>
      <sz val="9"/>
      <color rgb="FF000000"/>
      <name val="굴림"/>
      <family val="3"/>
      <charset val="129"/>
    </font>
    <font>
      <sz val="9"/>
      <color theme="1"/>
      <name val="굴림"/>
      <family val="3"/>
      <charset val="129"/>
    </font>
    <font>
      <b/>
      <sz val="9"/>
      <color theme="1"/>
      <name val="굴림"/>
      <family val="3"/>
      <charset val="129"/>
    </font>
    <font>
      <b/>
      <sz val="11"/>
      <name val="굴림"/>
      <family val="3"/>
      <charset val="129"/>
    </font>
    <font>
      <u/>
      <sz val="9"/>
      <name val="굴림"/>
      <family val="3"/>
      <charset val="129"/>
    </font>
  </fonts>
  <fills count="2">
    <fill>
      <patternFill patternType="none"/>
    </fill>
    <fill>
      <patternFill patternType="gray125"/>
    </fill>
  </fills>
  <borders count="74">
    <border>
      <left/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/>
      <right style="hair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hair">
        <color indexed="64"/>
      </bottom>
      <diagonal/>
    </border>
    <border>
      <left/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/>
      <bottom style="double">
        <color indexed="64"/>
      </bottom>
      <diagonal/>
    </border>
    <border>
      <left/>
      <right/>
      <top style="double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double">
        <color indexed="64"/>
      </bottom>
      <diagonal/>
    </border>
  </borders>
  <cellStyleXfs count="8">
    <xf numFmtId="0" fontId="0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4" fillId="0" borderId="0">
      <alignment vertical="center"/>
    </xf>
    <xf numFmtId="0" fontId="1" fillId="0" borderId="0">
      <alignment vertical="center"/>
    </xf>
    <xf numFmtId="9" fontId="1" fillId="0" borderId="0" applyFont="0" applyFill="0" applyBorder="0" applyAlignment="0" applyProtection="0">
      <alignment vertical="center"/>
    </xf>
  </cellStyleXfs>
  <cellXfs count="373">
    <xf numFmtId="0" fontId="0" fillId="0" borderId="0" xfId="0">
      <alignment vertic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top"/>
    </xf>
    <xf numFmtId="41" fontId="2" fillId="0" borderId="0" xfId="2" applyNumberFormat="1" applyFont="1">
      <alignment vertical="center"/>
    </xf>
    <xf numFmtId="0" fontId="2" fillId="0" borderId="0" xfId="2" applyFont="1">
      <alignment vertical="center"/>
    </xf>
    <xf numFmtId="0" fontId="7" fillId="0" borderId="0" xfId="0" applyFont="1" applyAlignment="1">
      <alignment horizontal="center"/>
    </xf>
    <xf numFmtId="0" fontId="8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3" fontId="8" fillId="0" borderId="10" xfId="0" applyNumberFormat="1" applyFont="1" applyBorder="1">
      <alignment vertical="center"/>
    </xf>
    <xf numFmtId="3" fontId="8" fillId="0" borderId="11" xfId="0" applyNumberFormat="1" applyFont="1" applyBorder="1" applyAlignment="1">
      <alignment horizontal="right" vertical="center"/>
    </xf>
    <xf numFmtId="0" fontId="9" fillId="0" borderId="13" xfId="0" applyFont="1" applyBorder="1" applyAlignment="1">
      <alignment horizontal="center" vertical="center"/>
    </xf>
    <xf numFmtId="3" fontId="9" fillId="0" borderId="14" xfId="0" applyNumberFormat="1" applyFont="1" applyBorder="1">
      <alignment vertical="center"/>
    </xf>
    <xf numFmtId="3" fontId="9" fillId="0" borderId="15" xfId="0" applyNumberFormat="1" applyFont="1" applyBorder="1" applyAlignment="1">
      <alignment horizontal="right" vertical="center"/>
    </xf>
    <xf numFmtId="0" fontId="9" fillId="0" borderId="18" xfId="0" applyFont="1" applyBorder="1" applyAlignment="1">
      <alignment horizontal="center" vertical="center"/>
    </xf>
    <xf numFmtId="0" fontId="9" fillId="0" borderId="19" xfId="0" applyFont="1" applyBorder="1" applyAlignment="1">
      <alignment horizontal="center" vertical="center"/>
    </xf>
    <xf numFmtId="0" fontId="9" fillId="0" borderId="20" xfId="0" applyFont="1" applyBorder="1" applyAlignment="1">
      <alignment horizontal="center" vertical="center"/>
    </xf>
    <xf numFmtId="3" fontId="9" fillId="0" borderId="21" xfId="0" applyNumberFormat="1" applyFont="1" applyBorder="1">
      <alignment vertical="center"/>
    </xf>
    <xf numFmtId="3" fontId="9" fillId="0" borderId="22" xfId="0" applyNumberFormat="1" applyFont="1" applyBorder="1" applyAlignment="1">
      <alignment horizontal="right" vertical="center"/>
    </xf>
    <xf numFmtId="0" fontId="9" fillId="0" borderId="23" xfId="0" applyFont="1" applyBorder="1" applyAlignment="1">
      <alignment horizontal="center" vertical="center"/>
    </xf>
    <xf numFmtId="0" fontId="9" fillId="0" borderId="24" xfId="0" applyFont="1" applyBorder="1" applyAlignment="1">
      <alignment horizontal="center" vertical="center"/>
    </xf>
    <xf numFmtId="3" fontId="9" fillId="0" borderId="25" xfId="0" applyNumberFormat="1" applyFont="1" applyBorder="1">
      <alignment vertical="center"/>
    </xf>
    <xf numFmtId="3" fontId="9" fillId="0" borderId="26" xfId="0" applyNumberFormat="1" applyFont="1" applyBorder="1" applyAlignment="1">
      <alignment horizontal="right" vertical="center"/>
    </xf>
    <xf numFmtId="0" fontId="9" fillId="0" borderId="28" xfId="0" applyFont="1" applyBorder="1" applyAlignment="1">
      <alignment horizontal="center" vertical="center"/>
    </xf>
    <xf numFmtId="3" fontId="9" fillId="0" borderId="29" xfId="0" applyNumberFormat="1" applyFont="1" applyBorder="1">
      <alignment vertical="center"/>
    </xf>
    <xf numFmtId="3" fontId="9" fillId="0" borderId="20" xfId="0" applyNumberFormat="1" applyFont="1" applyBorder="1">
      <alignment vertical="center"/>
    </xf>
    <xf numFmtId="0" fontId="6" fillId="0" borderId="0" xfId="0" applyFont="1" applyAlignment="1">
      <alignment horizontal="right" vertical="center"/>
    </xf>
    <xf numFmtId="0" fontId="9" fillId="0" borderId="0" xfId="0" applyFont="1" applyAlignment="1">
      <alignment horizontal="right" vertical="center"/>
    </xf>
    <xf numFmtId="0" fontId="3" fillId="0" borderId="0" xfId="0" applyFont="1">
      <alignment vertical="center"/>
    </xf>
    <xf numFmtId="0" fontId="9" fillId="0" borderId="38" xfId="0" applyFont="1" applyBorder="1" applyAlignment="1">
      <alignment horizontal="left" vertical="center"/>
    </xf>
    <xf numFmtId="0" fontId="11" fillId="0" borderId="0" xfId="0" applyFont="1" applyAlignment="1">
      <alignment horizontal="center" vertical="top"/>
    </xf>
    <xf numFmtId="0" fontId="11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12" fillId="0" borderId="0" xfId="0" applyFont="1">
      <alignment vertical="center"/>
    </xf>
    <xf numFmtId="0" fontId="12" fillId="0" borderId="0" xfId="0" applyFont="1" applyAlignment="1">
      <alignment vertical="center" wrapText="1"/>
    </xf>
    <xf numFmtId="0" fontId="10" fillId="0" borderId="0" xfId="0" applyFont="1" applyAlignment="1">
      <alignment horizontal="center"/>
    </xf>
    <xf numFmtId="3" fontId="9" fillId="0" borderId="30" xfId="0" applyNumberFormat="1" applyFont="1" applyBorder="1">
      <alignment vertical="center"/>
    </xf>
    <xf numFmtId="0" fontId="3" fillId="0" borderId="0" xfId="2" applyFont="1">
      <alignment vertical="center"/>
    </xf>
    <xf numFmtId="0" fontId="9" fillId="0" borderId="0" xfId="2" applyFont="1" applyAlignment="1">
      <alignment horizontal="left" vertical="center"/>
    </xf>
    <xf numFmtId="0" fontId="9" fillId="0" borderId="38" xfId="2" applyFont="1" applyBorder="1">
      <alignment vertical="center"/>
    </xf>
    <xf numFmtId="0" fontId="9" fillId="0" borderId="0" xfId="2" applyFont="1">
      <alignment vertical="center"/>
    </xf>
    <xf numFmtId="3" fontId="9" fillId="0" borderId="0" xfId="2" applyNumberFormat="1" applyFont="1">
      <alignment vertical="center"/>
    </xf>
    <xf numFmtId="0" fontId="8" fillId="0" borderId="6" xfId="0" applyFont="1" applyBorder="1" applyAlignment="1">
      <alignment horizontal="center" vertical="center" wrapText="1" shrinkToFit="1"/>
    </xf>
    <xf numFmtId="3" fontId="3" fillId="0" borderId="0" xfId="0" applyNumberFormat="1" applyFont="1">
      <alignment vertical="center"/>
    </xf>
    <xf numFmtId="0" fontId="12" fillId="0" borderId="0" xfId="0" applyFont="1" applyAlignment="1">
      <alignment vertical="center" shrinkToFit="1"/>
    </xf>
    <xf numFmtId="0" fontId="9" fillId="0" borderId="38" xfId="2" applyFont="1" applyBorder="1" applyAlignment="1">
      <alignment horizontal="left" vertical="center"/>
    </xf>
    <xf numFmtId="0" fontId="9" fillId="0" borderId="37" xfId="2" applyFont="1" applyBorder="1" applyAlignment="1">
      <alignment horizontal="left" vertical="center"/>
    </xf>
    <xf numFmtId="0" fontId="9" fillId="0" borderId="29" xfId="2" applyFont="1" applyBorder="1">
      <alignment vertical="center"/>
    </xf>
    <xf numFmtId="0" fontId="9" fillId="0" borderId="42" xfId="2" applyFont="1" applyBorder="1" applyAlignment="1">
      <alignment horizontal="left" vertical="center"/>
    </xf>
    <xf numFmtId="3" fontId="9" fillId="0" borderId="42" xfId="2" applyNumberFormat="1" applyFont="1" applyBorder="1">
      <alignment vertical="center"/>
    </xf>
    <xf numFmtId="3" fontId="3" fillId="0" borderId="0" xfId="2" applyNumberFormat="1" applyFont="1">
      <alignment vertical="center"/>
    </xf>
    <xf numFmtId="41" fontId="9" fillId="0" borderId="0" xfId="1" applyFont="1">
      <alignment vertical="center"/>
    </xf>
    <xf numFmtId="0" fontId="9" fillId="0" borderId="63" xfId="2" applyFont="1" applyBorder="1" applyAlignment="1">
      <alignment horizontal="center" vertical="center"/>
    </xf>
    <xf numFmtId="3" fontId="9" fillId="0" borderId="63" xfId="2" applyNumberFormat="1" applyFont="1" applyBorder="1" applyAlignment="1">
      <alignment horizontal="center" vertical="center" wrapText="1"/>
    </xf>
    <xf numFmtId="41" fontId="3" fillId="0" borderId="0" xfId="1" applyFont="1">
      <alignment vertical="center"/>
    </xf>
    <xf numFmtId="0" fontId="9" fillId="0" borderId="45" xfId="2" applyFont="1" applyBorder="1">
      <alignment vertical="center"/>
    </xf>
    <xf numFmtId="3" fontId="0" fillId="0" borderId="0" xfId="0" applyNumberFormat="1">
      <alignment vertical="center"/>
    </xf>
    <xf numFmtId="3" fontId="9" fillId="0" borderId="0" xfId="1" applyNumberFormat="1" applyFont="1" applyBorder="1" applyAlignment="1">
      <alignment horizontal="right" vertical="center"/>
    </xf>
    <xf numFmtId="0" fontId="16" fillId="0" borderId="0" xfId="0" applyFont="1">
      <alignment vertical="center"/>
    </xf>
    <xf numFmtId="0" fontId="12" fillId="0" borderId="0" xfId="0" applyFont="1" applyAlignment="1">
      <alignment horizontal="center" vertical="center"/>
    </xf>
    <xf numFmtId="3" fontId="12" fillId="0" borderId="0" xfId="0" applyNumberFormat="1" applyFont="1">
      <alignment vertical="center"/>
    </xf>
    <xf numFmtId="41" fontId="12" fillId="0" borderId="0" xfId="1" applyFont="1">
      <alignment vertical="center"/>
    </xf>
    <xf numFmtId="41" fontId="9" fillId="0" borderId="38" xfId="1" applyFont="1" applyBorder="1" applyAlignment="1">
      <alignment horizontal="left" vertical="center"/>
    </xf>
    <xf numFmtId="0" fontId="9" fillId="0" borderId="19" xfId="0" applyFont="1" applyBorder="1" applyAlignment="1">
      <alignment horizontal="left" vertical="center"/>
    </xf>
    <xf numFmtId="0" fontId="9" fillId="0" borderId="29" xfId="2" applyFont="1" applyBorder="1" applyAlignment="1">
      <alignment horizontal="left" vertical="center"/>
    </xf>
    <xf numFmtId="0" fontId="9" fillId="0" borderId="47" xfId="2" applyFont="1" applyBorder="1" applyAlignment="1">
      <alignment horizontal="left" vertical="center"/>
    </xf>
    <xf numFmtId="3" fontId="17" fillId="0" borderId="0" xfId="0" applyNumberFormat="1" applyFont="1">
      <alignment vertical="center"/>
    </xf>
    <xf numFmtId="3" fontId="18" fillId="0" borderId="0" xfId="0" applyNumberFormat="1" applyFont="1">
      <alignment vertical="center"/>
    </xf>
    <xf numFmtId="3" fontId="15" fillId="0" borderId="0" xfId="0" applyNumberFormat="1" applyFont="1" applyAlignment="1">
      <alignment horizontal="right" vertical="center"/>
    </xf>
    <xf numFmtId="41" fontId="9" fillId="0" borderId="38" xfId="1" applyFont="1" applyBorder="1">
      <alignment vertical="center"/>
    </xf>
    <xf numFmtId="0" fontId="10" fillId="0" borderId="0" xfId="0" applyFont="1" applyAlignment="1">
      <alignment horizontal="left" vertical="center"/>
    </xf>
    <xf numFmtId="41" fontId="3" fillId="0" borderId="0" xfId="0" applyNumberFormat="1" applyFont="1">
      <alignment vertical="center"/>
    </xf>
    <xf numFmtId="0" fontId="9" fillId="0" borderId="45" xfId="0" applyFont="1" applyBorder="1" applyAlignment="1">
      <alignment horizontal="left" vertical="center"/>
    </xf>
    <xf numFmtId="0" fontId="9" fillId="0" borderId="37" xfId="0" applyFont="1" applyBorder="1" applyAlignment="1">
      <alignment horizontal="left" vertical="center"/>
    </xf>
    <xf numFmtId="0" fontId="9" fillId="0" borderId="0" xfId="0" applyFont="1" applyAlignment="1">
      <alignment horizontal="center" vertical="center"/>
    </xf>
    <xf numFmtId="41" fontId="9" fillId="0" borderId="0" xfId="0" applyNumberFormat="1" applyFont="1" applyAlignment="1">
      <alignment horizontal="right" vertical="center"/>
    </xf>
    <xf numFmtId="41" fontId="9" fillId="0" borderId="66" xfId="0" applyNumberFormat="1" applyFont="1" applyBorder="1">
      <alignment vertical="center"/>
    </xf>
    <xf numFmtId="3" fontId="9" fillId="0" borderId="0" xfId="0" applyNumberFormat="1" applyFont="1" applyAlignment="1">
      <alignment horizontal="right" vertical="center"/>
    </xf>
    <xf numFmtId="0" fontId="6" fillId="0" borderId="0" xfId="0" applyFont="1">
      <alignment vertical="center"/>
    </xf>
    <xf numFmtId="3" fontId="8" fillId="0" borderId="0" xfId="1" applyNumberFormat="1" applyFont="1" applyFill="1" applyBorder="1" applyAlignment="1">
      <alignment horizontal="right" vertical="center"/>
    </xf>
    <xf numFmtId="41" fontId="9" fillId="0" borderId="0" xfId="0" applyNumberFormat="1" applyFont="1">
      <alignment vertical="center"/>
    </xf>
    <xf numFmtId="3" fontId="8" fillId="0" borderId="32" xfId="0" applyNumberFormat="1" applyFont="1" applyBorder="1" applyAlignment="1">
      <alignment horizontal="center" vertical="center"/>
    </xf>
    <xf numFmtId="3" fontId="8" fillId="0" borderId="10" xfId="1" applyNumberFormat="1" applyFont="1" applyFill="1" applyBorder="1" applyAlignment="1">
      <alignment horizontal="right" vertical="center"/>
    </xf>
    <xf numFmtId="3" fontId="8" fillId="0" borderId="29" xfId="1" applyNumberFormat="1" applyFont="1" applyFill="1" applyBorder="1" applyAlignment="1">
      <alignment vertical="center"/>
    </xf>
    <xf numFmtId="3" fontId="8" fillId="0" borderId="20" xfId="1" applyNumberFormat="1" applyFont="1" applyFill="1" applyBorder="1" applyAlignment="1">
      <alignment vertical="center"/>
    </xf>
    <xf numFmtId="3" fontId="9" fillId="0" borderId="20" xfId="1" applyNumberFormat="1" applyFont="1" applyFill="1" applyBorder="1" applyAlignment="1">
      <alignment vertical="center"/>
    </xf>
    <xf numFmtId="3" fontId="9" fillId="0" borderId="29" xfId="1" applyNumberFormat="1" applyFont="1" applyFill="1" applyBorder="1" applyAlignment="1">
      <alignment vertical="center"/>
    </xf>
    <xf numFmtId="3" fontId="9" fillId="0" borderId="38" xfId="0" applyNumberFormat="1" applyFont="1" applyBorder="1">
      <alignment vertical="center"/>
    </xf>
    <xf numFmtId="3" fontId="9" fillId="0" borderId="37" xfId="0" applyNumberFormat="1" applyFont="1" applyBorder="1">
      <alignment vertical="center"/>
    </xf>
    <xf numFmtId="3" fontId="9" fillId="0" borderId="37" xfId="1" applyNumberFormat="1" applyFont="1" applyFill="1" applyBorder="1" applyAlignment="1">
      <alignment vertical="center"/>
    </xf>
    <xf numFmtId="3" fontId="8" fillId="0" borderId="20" xfId="0" applyNumberFormat="1" applyFont="1" applyBorder="1">
      <alignment vertical="center"/>
    </xf>
    <xf numFmtId="3" fontId="9" fillId="0" borderId="38" xfId="1" applyNumberFormat="1" applyFont="1" applyFill="1" applyBorder="1" applyAlignment="1">
      <alignment vertical="center"/>
    </xf>
    <xf numFmtId="3" fontId="9" fillId="0" borderId="47" xfId="1" applyNumberFormat="1" applyFont="1" applyFill="1" applyBorder="1" applyAlignment="1">
      <alignment vertical="center"/>
    </xf>
    <xf numFmtId="3" fontId="9" fillId="0" borderId="0" xfId="0" applyNumberFormat="1" applyFont="1">
      <alignment vertical="center"/>
    </xf>
    <xf numFmtId="0" fontId="9" fillId="0" borderId="0" xfId="0" applyFont="1">
      <alignment vertical="center"/>
    </xf>
    <xf numFmtId="41" fontId="9" fillId="0" borderId="0" xfId="1" applyFont="1" applyFill="1">
      <alignment vertical="center"/>
    </xf>
    <xf numFmtId="41" fontId="3" fillId="0" borderId="0" xfId="1" applyFont="1" applyFill="1">
      <alignment vertical="center"/>
    </xf>
    <xf numFmtId="0" fontId="8" fillId="0" borderId="32" xfId="0" applyFont="1" applyBorder="1" applyAlignment="1">
      <alignment horizontal="center" vertical="center"/>
    </xf>
    <xf numFmtId="0" fontId="9" fillId="0" borderId="45" xfId="0" applyFont="1" applyBorder="1" applyAlignment="1">
      <alignment horizontal="center" vertical="center"/>
    </xf>
    <xf numFmtId="0" fontId="9" fillId="0" borderId="29" xfId="0" applyFont="1" applyBorder="1" applyAlignment="1">
      <alignment horizontal="left" vertical="center"/>
    </xf>
    <xf numFmtId="0" fontId="9" fillId="0" borderId="46" xfId="0" applyFont="1" applyBorder="1" applyAlignment="1">
      <alignment horizontal="left" vertical="center"/>
    </xf>
    <xf numFmtId="0" fontId="9" fillId="0" borderId="47" xfId="0" applyFont="1" applyBorder="1" applyAlignment="1">
      <alignment horizontal="center" vertical="center"/>
    </xf>
    <xf numFmtId="43" fontId="3" fillId="0" borderId="0" xfId="1" applyNumberFormat="1" applyFont="1" applyFill="1">
      <alignment vertical="center"/>
    </xf>
    <xf numFmtId="0" fontId="9" fillId="0" borderId="16" xfId="0" applyFont="1" applyBorder="1" applyAlignment="1">
      <alignment horizontal="left" vertical="center"/>
    </xf>
    <xf numFmtId="0" fontId="9" fillId="0" borderId="39" xfId="0" applyFont="1" applyBorder="1" applyAlignment="1">
      <alignment horizontal="left" vertical="center"/>
    </xf>
    <xf numFmtId="0" fontId="9" fillId="0" borderId="28" xfId="0" applyFont="1" applyBorder="1" applyAlignment="1">
      <alignment horizontal="left" vertical="center"/>
    </xf>
    <xf numFmtId="0" fontId="9" fillId="0" borderId="21" xfId="0" applyFont="1" applyBorder="1" applyAlignment="1">
      <alignment horizontal="left" vertical="center"/>
    </xf>
    <xf numFmtId="0" fontId="9" fillId="0" borderId="65" xfId="0" applyFont="1" applyBorder="1" applyAlignment="1">
      <alignment horizontal="left" vertical="center"/>
    </xf>
    <xf numFmtId="0" fontId="9" fillId="0" borderId="47" xfId="0" applyFont="1" applyBorder="1" applyAlignment="1">
      <alignment horizontal="left" vertical="center"/>
    </xf>
    <xf numFmtId="0" fontId="9" fillId="0" borderId="41" xfId="0" applyFont="1" applyBorder="1" applyAlignment="1">
      <alignment horizontal="left" vertical="center"/>
    </xf>
    <xf numFmtId="3" fontId="9" fillId="0" borderId="0" xfId="1" applyNumberFormat="1" applyFont="1" applyFill="1" applyBorder="1" applyAlignment="1">
      <alignment vertical="center"/>
    </xf>
    <xf numFmtId="3" fontId="21" fillId="0" borderId="0" xfId="0" applyNumberFormat="1" applyFont="1">
      <alignment vertical="center"/>
    </xf>
    <xf numFmtId="3" fontId="22" fillId="0" borderId="10" xfId="1" applyNumberFormat="1" applyFont="1" applyFill="1" applyBorder="1" applyAlignment="1">
      <alignment horizontal="right" vertical="center"/>
    </xf>
    <xf numFmtId="3" fontId="22" fillId="0" borderId="20" xfId="1" applyNumberFormat="1" applyFont="1" applyFill="1" applyBorder="1" applyAlignment="1">
      <alignment horizontal="right" vertical="center"/>
    </xf>
    <xf numFmtId="3" fontId="8" fillId="0" borderId="20" xfId="1" applyNumberFormat="1" applyFont="1" applyFill="1" applyBorder="1" applyAlignment="1">
      <alignment horizontal="right" vertical="center"/>
    </xf>
    <xf numFmtId="3" fontId="21" fillId="0" borderId="20" xfId="1" applyNumberFormat="1" applyFont="1" applyFill="1" applyBorder="1" applyAlignment="1">
      <alignment horizontal="right" vertical="center"/>
    </xf>
    <xf numFmtId="3" fontId="9" fillId="0" borderId="20" xfId="1" applyNumberFormat="1" applyFont="1" applyFill="1" applyBorder="1" applyAlignment="1">
      <alignment horizontal="right" vertical="center"/>
    </xf>
    <xf numFmtId="3" fontId="21" fillId="0" borderId="38" xfId="1" applyNumberFormat="1" applyFont="1" applyFill="1" applyBorder="1" applyAlignment="1">
      <alignment horizontal="right" vertical="center"/>
    </xf>
    <xf numFmtId="3" fontId="21" fillId="0" borderId="37" xfId="1" applyNumberFormat="1" applyFont="1" applyFill="1" applyBorder="1" applyAlignment="1">
      <alignment horizontal="right" vertical="center"/>
    </xf>
    <xf numFmtId="3" fontId="8" fillId="0" borderId="37" xfId="1" applyNumberFormat="1" applyFont="1" applyFill="1" applyBorder="1" applyAlignment="1">
      <alignment horizontal="right" vertical="center"/>
    </xf>
    <xf numFmtId="3" fontId="21" fillId="0" borderId="47" xfId="1" applyNumberFormat="1" applyFont="1" applyFill="1" applyBorder="1" applyAlignment="1">
      <alignment horizontal="right" vertical="center"/>
    </xf>
    <xf numFmtId="3" fontId="8" fillId="0" borderId="47" xfId="1" applyNumberFormat="1" applyFont="1" applyFill="1" applyBorder="1" applyAlignment="1">
      <alignment horizontal="right" vertical="center"/>
    </xf>
    <xf numFmtId="3" fontId="9" fillId="0" borderId="38" xfId="1" applyNumberFormat="1" applyFont="1" applyFill="1" applyBorder="1" applyAlignment="1">
      <alignment horizontal="right" vertical="center"/>
    </xf>
    <xf numFmtId="3" fontId="8" fillId="0" borderId="29" xfId="1" applyNumberFormat="1" applyFont="1" applyFill="1" applyBorder="1" applyAlignment="1">
      <alignment horizontal="right" vertical="center"/>
    </xf>
    <xf numFmtId="3" fontId="9" fillId="0" borderId="29" xfId="1" applyNumberFormat="1" applyFont="1" applyFill="1" applyBorder="1" applyAlignment="1">
      <alignment horizontal="right" vertical="center"/>
    </xf>
    <xf numFmtId="3" fontId="21" fillId="0" borderId="29" xfId="1" applyNumberFormat="1" applyFont="1" applyFill="1" applyBorder="1" applyAlignment="1">
      <alignment horizontal="right" vertical="center"/>
    </xf>
    <xf numFmtId="3" fontId="9" fillId="0" borderId="47" xfId="1" applyNumberFormat="1" applyFont="1" applyFill="1" applyBorder="1" applyAlignment="1">
      <alignment horizontal="right" vertical="center"/>
    </xf>
    <xf numFmtId="3" fontId="9" fillId="0" borderId="37" xfId="1" applyNumberFormat="1" applyFont="1" applyFill="1" applyBorder="1" applyAlignment="1">
      <alignment horizontal="right" vertical="center"/>
    </xf>
    <xf numFmtId="3" fontId="22" fillId="0" borderId="29" xfId="1" applyNumberFormat="1" applyFont="1" applyFill="1" applyBorder="1" applyAlignment="1">
      <alignment horizontal="right" vertical="center"/>
    </xf>
    <xf numFmtId="3" fontId="21" fillId="0" borderId="13" xfId="1" applyNumberFormat="1" applyFont="1" applyFill="1" applyBorder="1" applyAlignment="1">
      <alignment horizontal="right" vertical="center"/>
    </xf>
    <xf numFmtId="3" fontId="9" fillId="0" borderId="13" xfId="1" applyNumberFormat="1" applyFont="1" applyFill="1" applyBorder="1" applyAlignment="1">
      <alignment horizontal="right" vertical="center"/>
    </xf>
    <xf numFmtId="0" fontId="9" fillId="0" borderId="44" xfId="0" applyFont="1" applyBorder="1" applyAlignment="1">
      <alignment horizontal="left" vertical="center"/>
    </xf>
    <xf numFmtId="43" fontId="9" fillId="0" borderId="0" xfId="0" applyNumberFormat="1" applyFont="1">
      <alignment vertical="center"/>
    </xf>
    <xf numFmtId="0" fontId="9" fillId="0" borderId="38" xfId="0" applyFont="1" applyBorder="1" applyAlignment="1">
      <alignment horizontal="left" vertical="center" shrinkToFit="1"/>
    </xf>
    <xf numFmtId="0" fontId="9" fillId="0" borderId="36" xfId="0" applyFont="1" applyBorder="1" applyAlignment="1">
      <alignment horizontal="left" vertical="center"/>
    </xf>
    <xf numFmtId="0" fontId="9" fillId="0" borderId="44" xfId="0" applyFont="1" applyBorder="1">
      <alignment vertical="center"/>
    </xf>
    <xf numFmtId="0" fontId="9" fillId="0" borderId="62" xfId="0" applyFont="1" applyBorder="1" applyAlignment="1">
      <alignment horizontal="left" vertical="center"/>
    </xf>
    <xf numFmtId="0" fontId="9" fillId="0" borderId="46" xfId="0" applyFont="1" applyBorder="1" applyAlignment="1">
      <alignment horizontal="center" vertical="center"/>
    </xf>
    <xf numFmtId="0" fontId="9" fillId="0" borderId="13" xfId="0" applyFont="1" applyBorder="1">
      <alignment vertical="center"/>
    </xf>
    <xf numFmtId="0" fontId="9" fillId="0" borderId="37" xfId="0" applyFont="1" applyBorder="1" applyAlignment="1">
      <alignment vertical="center" shrinkToFit="1"/>
    </xf>
    <xf numFmtId="0" fontId="9" fillId="0" borderId="37" xfId="0" applyFont="1" applyBorder="1">
      <alignment vertical="center"/>
    </xf>
    <xf numFmtId="0" fontId="9" fillId="0" borderId="29" xfId="0" applyFont="1" applyBorder="1">
      <alignment vertical="center"/>
    </xf>
    <xf numFmtId="0" fontId="9" fillId="0" borderId="40" xfId="0" applyFont="1" applyBorder="1">
      <alignment vertical="center"/>
    </xf>
    <xf numFmtId="0" fontId="9" fillId="0" borderId="20" xfId="0" applyFont="1" applyBorder="1" applyAlignment="1">
      <alignment horizontal="left" vertical="center"/>
    </xf>
    <xf numFmtId="0" fontId="9" fillId="0" borderId="38" xfId="0" applyFont="1" applyBorder="1">
      <alignment vertical="center"/>
    </xf>
    <xf numFmtId="0" fontId="9" fillId="0" borderId="64" xfId="0" applyFont="1" applyBorder="1" applyAlignment="1">
      <alignment horizontal="left" vertical="center"/>
    </xf>
    <xf numFmtId="0" fontId="9" fillId="0" borderId="47" xfId="0" applyFont="1" applyBorder="1">
      <alignment vertical="center"/>
    </xf>
    <xf numFmtId="41" fontId="9" fillId="0" borderId="0" xfId="2" applyNumberFormat="1" applyFont="1">
      <alignment vertical="center"/>
    </xf>
    <xf numFmtId="0" fontId="9" fillId="0" borderId="12" xfId="0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9" fillId="0" borderId="48" xfId="0" applyFont="1" applyBorder="1" applyAlignment="1">
      <alignment horizontal="left" vertical="center"/>
    </xf>
    <xf numFmtId="4" fontId="19" fillId="0" borderId="39" xfId="7" applyNumberFormat="1" applyFont="1" applyFill="1" applyBorder="1" applyAlignment="1">
      <alignment horizontal="right" vertical="center"/>
    </xf>
    <xf numFmtId="4" fontId="20" fillId="0" borderId="39" xfId="7" applyNumberFormat="1" applyFont="1" applyFill="1" applyBorder="1" applyAlignment="1">
      <alignment horizontal="right" vertical="center"/>
    </xf>
    <xf numFmtId="4" fontId="20" fillId="0" borderId="46" xfId="7" applyNumberFormat="1" applyFont="1" applyFill="1" applyBorder="1" applyAlignment="1">
      <alignment horizontal="right" vertical="center"/>
    </xf>
    <xf numFmtId="3" fontId="20" fillId="0" borderId="37" xfId="7" applyNumberFormat="1" applyFont="1" applyFill="1" applyBorder="1" applyAlignment="1">
      <alignment horizontal="right" vertical="center"/>
    </xf>
    <xf numFmtId="3" fontId="20" fillId="0" borderId="38" xfId="7" applyNumberFormat="1" applyFont="1" applyFill="1" applyBorder="1" applyAlignment="1">
      <alignment horizontal="right" vertical="center"/>
    </xf>
    <xf numFmtId="3" fontId="20" fillId="0" borderId="39" xfId="1" applyNumberFormat="1" applyFont="1" applyFill="1" applyBorder="1" applyAlignment="1">
      <alignment horizontal="right" vertical="center"/>
    </xf>
    <xf numFmtId="3" fontId="20" fillId="0" borderId="46" xfId="1" applyNumberFormat="1" applyFont="1" applyFill="1" applyBorder="1" applyAlignment="1">
      <alignment horizontal="right" vertical="center"/>
    </xf>
    <xf numFmtId="3" fontId="20" fillId="0" borderId="29" xfId="1" applyNumberFormat="1" applyFont="1" applyFill="1" applyBorder="1" applyAlignment="1">
      <alignment horizontal="right" vertical="center"/>
    </xf>
    <xf numFmtId="4" fontId="10" fillId="0" borderId="0" xfId="1" applyNumberFormat="1" applyFont="1" applyAlignment="1">
      <alignment horizontal="left" vertical="center"/>
    </xf>
    <xf numFmtId="4" fontId="9" fillId="0" borderId="0" xfId="1" applyNumberFormat="1" applyFont="1">
      <alignment vertical="center"/>
    </xf>
    <xf numFmtId="4" fontId="8" fillId="0" borderId="32" xfId="1" applyNumberFormat="1" applyFont="1" applyBorder="1" applyAlignment="1">
      <alignment horizontal="center" vertical="center"/>
    </xf>
    <xf numFmtId="4" fontId="19" fillId="0" borderId="39" xfId="1" applyNumberFormat="1" applyFont="1" applyFill="1" applyBorder="1" applyAlignment="1">
      <alignment horizontal="right" vertical="center"/>
    </xf>
    <xf numFmtId="4" fontId="20" fillId="0" borderId="39" xfId="1" applyNumberFormat="1" applyFont="1" applyFill="1" applyBorder="1" applyAlignment="1">
      <alignment horizontal="right" vertical="center"/>
    </xf>
    <xf numFmtId="4" fontId="20" fillId="0" borderId="46" xfId="1" applyNumberFormat="1" applyFont="1" applyFill="1" applyBorder="1" applyAlignment="1">
      <alignment horizontal="right" vertical="center"/>
    </xf>
    <xf numFmtId="4" fontId="20" fillId="0" borderId="29" xfId="1" applyNumberFormat="1" applyFont="1" applyFill="1" applyBorder="1" applyAlignment="1">
      <alignment horizontal="right" vertical="center"/>
    </xf>
    <xf numFmtId="4" fontId="20" fillId="0" borderId="20" xfId="1" applyNumberFormat="1" applyFont="1" applyFill="1" applyBorder="1" applyAlignment="1">
      <alignment horizontal="right" vertical="center"/>
    </xf>
    <xf numFmtId="4" fontId="20" fillId="0" borderId="37" xfId="1" applyNumberFormat="1" applyFont="1" applyFill="1" applyBorder="1" applyAlignment="1">
      <alignment horizontal="right" vertical="center"/>
    </xf>
    <xf numFmtId="4" fontId="20" fillId="0" borderId="38" xfId="1" applyNumberFormat="1" applyFont="1" applyFill="1" applyBorder="1" applyAlignment="1">
      <alignment horizontal="right" vertical="center"/>
    </xf>
    <xf numFmtId="4" fontId="19" fillId="0" borderId="14" xfId="1" applyNumberFormat="1" applyFont="1" applyFill="1" applyBorder="1" applyAlignment="1">
      <alignment horizontal="right" vertical="center"/>
    </xf>
    <xf numFmtId="4" fontId="20" fillId="0" borderId="47" xfId="1" applyNumberFormat="1" applyFont="1" applyFill="1" applyBorder="1" applyAlignment="1">
      <alignment horizontal="right" vertical="center"/>
    </xf>
    <xf numFmtId="4" fontId="3" fillId="0" borderId="0" xfId="1" applyNumberFormat="1" applyFont="1">
      <alignment vertical="center"/>
    </xf>
    <xf numFmtId="4" fontId="20" fillId="0" borderId="38" xfId="7" applyNumberFormat="1" applyFont="1" applyFill="1" applyBorder="1" applyAlignment="1">
      <alignment horizontal="right" vertical="center"/>
    </xf>
    <xf numFmtId="4" fontId="9" fillId="0" borderId="37" xfId="1" applyNumberFormat="1" applyFont="1" applyFill="1" applyBorder="1" applyAlignment="1">
      <alignment horizontal="right" vertical="center"/>
    </xf>
    <xf numFmtId="4" fontId="9" fillId="0" borderId="48" xfId="1" applyNumberFormat="1" applyFont="1" applyFill="1" applyBorder="1" applyAlignment="1">
      <alignment horizontal="right" vertical="center"/>
    </xf>
    <xf numFmtId="4" fontId="9" fillId="0" borderId="47" xfId="1" applyNumberFormat="1" applyFont="1" applyFill="1" applyBorder="1" applyAlignment="1">
      <alignment horizontal="right" vertical="center"/>
    </xf>
    <xf numFmtId="4" fontId="20" fillId="0" borderId="37" xfId="7" applyNumberFormat="1" applyFont="1" applyFill="1" applyBorder="1" applyAlignment="1">
      <alignment horizontal="right" vertical="center"/>
    </xf>
    <xf numFmtId="4" fontId="9" fillId="0" borderId="46" xfId="1" applyNumberFormat="1" applyFont="1" applyFill="1" applyBorder="1" applyAlignment="1">
      <alignment horizontal="right" vertical="center"/>
    </xf>
    <xf numFmtId="4" fontId="9" fillId="0" borderId="29" xfId="1" applyNumberFormat="1" applyFont="1" applyFill="1" applyBorder="1" applyAlignment="1">
      <alignment horizontal="right" vertical="center"/>
    </xf>
    <xf numFmtId="4" fontId="20" fillId="0" borderId="41" xfId="7" applyNumberFormat="1" applyFont="1" applyFill="1" applyBorder="1" applyAlignment="1">
      <alignment horizontal="right" vertical="center"/>
    </xf>
    <xf numFmtId="4" fontId="20" fillId="0" borderId="29" xfId="7" applyNumberFormat="1" applyFont="1" applyFill="1" applyBorder="1" applyAlignment="1">
      <alignment horizontal="right" vertical="center"/>
    </xf>
    <xf numFmtId="4" fontId="19" fillId="0" borderId="29" xfId="7" applyNumberFormat="1" applyFont="1" applyFill="1" applyBorder="1" applyAlignment="1">
      <alignment horizontal="right" vertical="center"/>
    </xf>
    <xf numFmtId="4" fontId="20" fillId="0" borderId="20" xfId="7" applyNumberFormat="1" applyFont="1" applyFill="1" applyBorder="1" applyAlignment="1">
      <alignment horizontal="right" vertical="center"/>
    </xf>
    <xf numFmtId="4" fontId="19" fillId="0" borderId="37" xfId="7" applyNumberFormat="1" applyFont="1" applyFill="1" applyBorder="1" applyAlignment="1">
      <alignment horizontal="right" vertical="center"/>
    </xf>
    <xf numFmtId="41" fontId="8" fillId="0" borderId="10" xfId="1" applyFont="1" applyBorder="1" applyAlignment="1">
      <alignment horizontal="right" vertical="center"/>
    </xf>
    <xf numFmtId="41" fontId="8" fillId="0" borderId="29" xfId="1" applyFont="1" applyBorder="1" applyAlignment="1">
      <alignment horizontal="right" vertical="center"/>
    </xf>
    <xf numFmtId="0" fontId="9" fillId="0" borderId="38" xfId="1" applyNumberFormat="1" applyFont="1" applyBorder="1" applyAlignment="1">
      <alignment horizontal="left" vertical="center"/>
    </xf>
    <xf numFmtId="41" fontId="9" fillId="0" borderId="42" xfId="1" applyFont="1" applyBorder="1" applyAlignment="1">
      <alignment horizontal="right" vertical="center"/>
    </xf>
    <xf numFmtId="41" fontId="9" fillId="0" borderId="63" xfId="1" applyFont="1" applyBorder="1" applyAlignment="1">
      <alignment horizontal="center" vertical="center" wrapText="1"/>
    </xf>
    <xf numFmtId="41" fontId="9" fillId="0" borderId="35" xfId="1" applyFont="1" applyBorder="1" applyAlignment="1">
      <alignment horizontal="right" vertical="center"/>
    </xf>
    <xf numFmtId="176" fontId="8" fillId="0" borderId="57" xfId="1" applyNumberFormat="1" applyFont="1" applyBorder="1" applyAlignment="1">
      <alignment horizontal="center" vertical="center"/>
    </xf>
    <xf numFmtId="176" fontId="9" fillId="0" borderId="60" xfId="1" applyNumberFormat="1" applyFont="1" applyBorder="1" applyAlignment="1">
      <alignment horizontal="right" vertical="center"/>
    </xf>
    <xf numFmtId="176" fontId="9" fillId="0" borderId="67" xfId="1" applyNumberFormat="1" applyFont="1" applyBorder="1" applyAlignment="1">
      <alignment horizontal="center" vertical="center"/>
    </xf>
    <xf numFmtId="176" fontId="8" fillId="0" borderId="52" xfId="1" applyNumberFormat="1" applyFont="1" applyBorder="1" applyAlignment="1">
      <alignment horizontal="right" vertical="center"/>
    </xf>
    <xf numFmtId="176" fontId="9" fillId="0" borderId="53" xfId="1" applyNumberFormat="1" applyFont="1" applyBorder="1" applyAlignment="1">
      <alignment horizontal="right" vertical="center"/>
    </xf>
    <xf numFmtId="176" fontId="9" fillId="0" borderId="57" xfId="1" applyNumberFormat="1" applyFont="1" applyBorder="1" applyAlignment="1">
      <alignment horizontal="right" vertical="center"/>
    </xf>
    <xf numFmtId="176" fontId="9" fillId="0" borderId="0" xfId="1" quotePrefix="1" applyNumberFormat="1" applyFont="1" applyAlignment="1">
      <alignment horizontal="right" vertical="center"/>
    </xf>
    <xf numFmtId="176" fontId="3" fillId="0" borderId="0" xfId="1" applyNumberFormat="1" applyFont="1">
      <alignment vertical="center"/>
    </xf>
    <xf numFmtId="0" fontId="8" fillId="0" borderId="0" xfId="2" applyFont="1" applyBorder="1" applyAlignment="1">
      <alignment horizontal="center" vertical="center"/>
    </xf>
    <xf numFmtId="41" fontId="8" fillId="0" borderId="0" xfId="1" applyFont="1" applyBorder="1" applyAlignment="1">
      <alignment horizontal="center" vertical="center"/>
    </xf>
    <xf numFmtId="3" fontId="8" fillId="0" borderId="0" xfId="2" applyNumberFormat="1" applyFont="1" applyBorder="1" applyAlignment="1">
      <alignment horizontal="center" vertical="center"/>
    </xf>
    <xf numFmtId="0" fontId="9" fillId="0" borderId="47" xfId="2" applyFont="1" applyBorder="1">
      <alignment vertical="center"/>
    </xf>
    <xf numFmtId="0" fontId="9" fillId="0" borderId="49" xfId="1" applyNumberFormat="1" applyFont="1" applyBorder="1" applyAlignment="1">
      <alignment horizontal="left" vertical="center"/>
    </xf>
    <xf numFmtId="176" fontId="9" fillId="0" borderId="54" xfId="1" applyNumberFormat="1" applyFont="1" applyBorder="1" applyAlignment="1">
      <alignment horizontal="left" vertical="center"/>
    </xf>
    <xf numFmtId="3" fontId="9" fillId="0" borderId="47" xfId="0" applyNumberFormat="1" applyFont="1" applyBorder="1">
      <alignment vertical="center"/>
    </xf>
    <xf numFmtId="3" fontId="20" fillId="0" borderId="38" xfId="1" applyNumberFormat="1" applyFont="1" applyFill="1" applyBorder="1" applyAlignment="1">
      <alignment horizontal="right" vertical="center"/>
    </xf>
    <xf numFmtId="3" fontId="20" fillId="0" borderId="47" xfId="1" applyNumberFormat="1" applyFont="1" applyFill="1" applyBorder="1" applyAlignment="1">
      <alignment horizontal="right" vertical="center"/>
    </xf>
    <xf numFmtId="0" fontId="9" fillId="0" borderId="65" xfId="0" applyFont="1" applyBorder="1" applyAlignment="1">
      <alignment horizontal="center" vertical="center"/>
    </xf>
    <xf numFmtId="41" fontId="23" fillId="0" borderId="0" xfId="1" applyFont="1" applyFill="1" applyAlignment="1">
      <alignment horizontal="left" vertical="center"/>
    </xf>
    <xf numFmtId="0" fontId="24" fillId="0" borderId="37" xfId="0" applyFont="1" applyBorder="1" applyAlignment="1">
      <alignment vertical="center" wrapText="1"/>
    </xf>
    <xf numFmtId="0" fontId="9" fillId="0" borderId="45" xfId="0" applyFont="1" applyBorder="1">
      <alignment vertical="center"/>
    </xf>
    <xf numFmtId="0" fontId="9" fillId="0" borderId="0" xfId="0" applyFont="1" applyBorder="1">
      <alignment vertical="center"/>
    </xf>
    <xf numFmtId="41" fontId="9" fillId="0" borderId="0" xfId="1" applyFont="1" applyFill="1" applyBorder="1">
      <alignment vertical="center"/>
    </xf>
    <xf numFmtId="41" fontId="9" fillId="0" borderId="0" xfId="0" applyNumberFormat="1" applyFont="1" applyBorder="1">
      <alignment vertical="center"/>
    </xf>
    <xf numFmtId="0" fontId="3" fillId="0" borderId="45" xfId="0" applyFont="1" applyBorder="1">
      <alignment vertical="center"/>
    </xf>
    <xf numFmtId="0" fontId="9" fillId="0" borderId="16" xfId="0" applyFont="1" applyBorder="1" applyAlignment="1">
      <alignment horizontal="center" vertical="center"/>
    </xf>
    <xf numFmtId="0" fontId="9" fillId="0" borderId="14" xfId="0" applyFont="1" applyBorder="1" applyAlignment="1">
      <alignment horizontal="left" vertical="center"/>
    </xf>
    <xf numFmtId="0" fontId="9" fillId="0" borderId="13" xfId="0" applyFont="1" applyBorder="1" applyAlignment="1">
      <alignment horizontal="left" vertical="center"/>
    </xf>
    <xf numFmtId="0" fontId="9" fillId="0" borderId="61" xfId="0" applyFont="1" applyBorder="1" applyAlignment="1">
      <alignment horizontal="left" vertical="center"/>
    </xf>
    <xf numFmtId="0" fontId="9" fillId="0" borderId="40" xfId="0" applyFont="1" applyBorder="1" applyAlignment="1">
      <alignment horizontal="left" vertical="center"/>
    </xf>
    <xf numFmtId="0" fontId="9" fillId="0" borderId="37" xfId="0" applyFont="1" applyBorder="1" applyAlignment="1">
      <alignment horizontal="center" vertical="center"/>
    </xf>
    <xf numFmtId="0" fontId="9" fillId="0" borderId="38" xfId="0" applyFont="1" applyBorder="1" applyAlignment="1">
      <alignment vertical="center" wrapText="1"/>
    </xf>
    <xf numFmtId="0" fontId="9" fillId="0" borderId="29" xfId="0" applyFont="1" applyBorder="1" applyAlignment="1">
      <alignment vertical="center" wrapText="1"/>
    </xf>
    <xf numFmtId="0" fontId="9" fillId="0" borderId="37" xfId="0" applyFont="1" applyBorder="1" applyAlignment="1">
      <alignment vertical="center" wrapText="1"/>
    </xf>
    <xf numFmtId="3" fontId="12" fillId="0" borderId="0" xfId="0" applyNumberFormat="1" applyFont="1" applyFill="1" applyAlignment="1">
      <alignment horizontal="right" vertical="center"/>
    </xf>
    <xf numFmtId="4" fontId="12" fillId="0" borderId="0" xfId="0" applyNumberFormat="1" applyFont="1" applyFill="1" applyAlignment="1">
      <alignment horizontal="right" vertical="center"/>
    </xf>
    <xf numFmtId="0" fontId="3" fillId="0" borderId="0" xfId="0" applyFont="1" applyFill="1">
      <alignment vertical="center"/>
    </xf>
    <xf numFmtId="3" fontId="9" fillId="0" borderId="0" xfId="0" applyNumberFormat="1" applyFont="1" applyFill="1" applyAlignment="1">
      <alignment horizontal="right" vertical="center"/>
    </xf>
    <xf numFmtId="4" fontId="9" fillId="0" borderId="0" xfId="0" applyNumberFormat="1" applyFont="1" applyFill="1">
      <alignment vertical="center"/>
    </xf>
    <xf numFmtId="3" fontId="8" fillId="0" borderId="32" xfId="0" applyNumberFormat="1" applyFont="1" applyFill="1" applyBorder="1" applyAlignment="1">
      <alignment horizontal="center" vertical="center"/>
    </xf>
    <xf numFmtId="4" fontId="8" fillId="0" borderId="32" xfId="0" applyNumberFormat="1" applyFont="1" applyFill="1" applyBorder="1" applyAlignment="1">
      <alignment horizontal="center" vertical="center"/>
    </xf>
    <xf numFmtId="3" fontId="3" fillId="0" borderId="0" xfId="0" applyNumberFormat="1" applyFont="1" applyFill="1" applyAlignment="1">
      <alignment horizontal="right" vertical="center"/>
    </xf>
    <xf numFmtId="4" fontId="3" fillId="0" borderId="0" xfId="0" applyNumberFormat="1" applyFont="1" applyFill="1">
      <alignment vertical="center"/>
    </xf>
    <xf numFmtId="43" fontId="9" fillId="0" borderId="0" xfId="2" applyNumberFormat="1" applyFont="1">
      <alignment vertical="center"/>
    </xf>
    <xf numFmtId="41" fontId="9" fillId="0" borderId="69" xfId="1" applyFont="1" applyFill="1" applyBorder="1">
      <alignment vertical="center"/>
    </xf>
    <xf numFmtId="41" fontId="9" fillId="0" borderId="53" xfId="1" applyFont="1" applyFill="1" applyBorder="1">
      <alignment vertical="center"/>
    </xf>
    <xf numFmtId="41" fontId="9" fillId="0" borderId="55" xfId="1" applyFont="1" applyFill="1" applyBorder="1">
      <alignment vertical="center"/>
    </xf>
    <xf numFmtId="0" fontId="9" fillId="0" borderId="46" xfId="0" applyFont="1" applyFill="1" applyBorder="1" applyAlignment="1">
      <alignment vertical="center" shrinkToFit="1"/>
    </xf>
    <xf numFmtId="41" fontId="9" fillId="0" borderId="57" xfId="1" applyFont="1" applyFill="1" applyBorder="1">
      <alignment vertical="center"/>
    </xf>
    <xf numFmtId="41" fontId="9" fillId="0" borderId="60" xfId="1" applyFont="1" applyFill="1" applyBorder="1">
      <alignment vertical="center"/>
    </xf>
    <xf numFmtId="41" fontId="9" fillId="0" borderId="52" xfId="1" applyFont="1" applyFill="1" applyBorder="1">
      <alignment vertical="center"/>
    </xf>
    <xf numFmtId="3" fontId="9" fillId="0" borderId="39" xfId="0" applyNumberFormat="1" applyFont="1" applyFill="1" applyBorder="1" applyAlignment="1">
      <alignment vertical="center" wrapText="1"/>
    </xf>
    <xf numFmtId="3" fontId="9" fillId="0" borderId="14" xfId="0" applyNumberFormat="1" applyFont="1" applyFill="1" applyBorder="1" applyAlignment="1">
      <alignment vertical="center" wrapText="1"/>
    </xf>
    <xf numFmtId="0" fontId="9" fillId="0" borderId="14" xfId="0" applyFont="1" applyFill="1" applyBorder="1" applyAlignment="1">
      <alignment vertical="center" wrapText="1"/>
    </xf>
    <xf numFmtId="0" fontId="9" fillId="0" borderId="21" xfId="0" applyFont="1" applyFill="1" applyBorder="1" applyAlignment="1">
      <alignment vertical="center" wrapText="1"/>
    </xf>
    <xf numFmtId="41" fontId="8" fillId="0" borderId="57" xfId="1" applyFont="1" applyFill="1" applyBorder="1">
      <alignment vertical="center"/>
    </xf>
    <xf numFmtId="0" fontId="9" fillId="0" borderId="41" xfId="0" applyFont="1" applyFill="1" applyBorder="1" applyAlignment="1">
      <alignment vertical="center" shrinkToFit="1"/>
    </xf>
    <xf numFmtId="49" fontId="9" fillId="0" borderId="46" xfId="0" applyNumberFormat="1" applyFont="1" applyFill="1" applyBorder="1" applyAlignment="1">
      <alignment vertical="center" shrinkToFit="1"/>
    </xf>
    <xf numFmtId="0" fontId="9" fillId="0" borderId="21" xfId="0" applyFont="1" applyFill="1" applyBorder="1" applyAlignment="1">
      <alignment vertical="center" shrinkToFit="1"/>
    </xf>
    <xf numFmtId="49" fontId="9" fillId="0" borderId="41" xfId="0" applyNumberFormat="1" applyFont="1" applyFill="1" applyBorder="1" applyAlignment="1">
      <alignment vertical="center" shrinkToFit="1"/>
    </xf>
    <xf numFmtId="0" fontId="9" fillId="0" borderId="39" xfId="0" applyFont="1" applyFill="1" applyBorder="1" applyAlignment="1">
      <alignment vertical="center" shrinkToFit="1"/>
    </xf>
    <xf numFmtId="0" fontId="9" fillId="0" borderId="46" xfId="0" applyFont="1" applyFill="1" applyBorder="1" applyAlignment="1">
      <alignment horizontal="left" vertical="center" shrinkToFit="1"/>
    </xf>
    <xf numFmtId="3" fontId="9" fillId="0" borderId="46" xfId="0" applyNumberFormat="1" applyFont="1" applyFill="1" applyBorder="1" applyAlignment="1">
      <alignment vertical="center" shrinkToFit="1"/>
    </xf>
    <xf numFmtId="41" fontId="8" fillId="0" borderId="52" xfId="1" applyFont="1" applyFill="1" applyBorder="1">
      <alignment vertical="center"/>
    </xf>
    <xf numFmtId="0" fontId="9" fillId="0" borderId="14" xfId="0" applyFont="1" applyFill="1" applyBorder="1" applyAlignment="1">
      <alignment vertical="center" shrinkToFit="1"/>
    </xf>
    <xf numFmtId="3" fontId="9" fillId="0" borderId="21" xfId="0" applyNumberFormat="1" applyFont="1" applyFill="1" applyBorder="1" applyAlignment="1">
      <alignment vertical="center" shrinkToFit="1"/>
    </xf>
    <xf numFmtId="3" fontId="9" fillId="0" borderId="57" xfId="0" applyNumberFormat="1" applyFont="1" applyFill="1" applyBorder="1" applyAlignment="1">
      <alignment vertical="center" shrinkToFit="1"/>
    </xf>
    <xf numFmtId="0" fontId="9" fillId="0" borderId="46" xfId="0" applyFont="1" applyFill="1" applyBorder="1">
      <alignment vertical="center"/>
    </xf>
    <xf numFmtId="0" fontId="9" fillId="0" borderId="0" xfId="0" applyFont="1" applyFill="1" applyAlignment="1">
      <alignment vertical="center" shrinkToFit="1"/>
    </xf>
    <xf numFmtId="0" fontId="9" fillId="0" borderId="46" xfId="0" applyFont="1" applyFill="1" applyBorder="1" applyAlignment="1">
      <alignment vertical="center" wrapText="1"/>
    </xf>
    <xf numFmtId="3" fontId="9" fillId="0" borderId="39" xfId="0" applyNumberFormat="1" applyFont="1" applyFill="1" applyBorder="1" applyAlignment="1">
      <alignment vertical="center" shrinkToFit="1"/>
    </xf>
    <xf numFmtId="0" fontId="9" fillId="0" borderId="71" xfId="0" applyFont="1" applyBorder="1" applyAlignment="1">
      <alignment horizontal="left" vertical="center"/>
    </xf>
    <xf numFmtId="0" fontId="8" fillId="0" borderId="45" xfId="2" applyFont="1" applyBorder="1" applyAlignment="1">
      <alignment vertical="center"/>
    </xf>
    <xf numFmtId="0" fontId="8" fillId="0" borderId="65" xfId="2" applyFont="1" applyBorder="1" applyAlignment="1">
      <alignment vertical="center"/>
    </xf>
    <xf numFmtId="0" fontId="10" fillId="0" borderId="66" xfId="2" applyFont="1" applyBorder="1" applyAlignment="1">
      <alignment vertical="center"/>
    </xf>
    <xf numFmtId="0" fontId="10" fillId="0" borderId="51" xfId="2" applyFont="1" applyBorder="1" applyAlignment="1">
      <alignment vertical="center"/>
    </xf>
    <xf numFmtId="177" fontId="9" fillId="0" borderId="0" xfId="0" applyNumberFormat="1" applyFont="1">
      <alignment vertical="center"/>
    </xf>
    <xf numFmtId="3" fontId="9" fillId="0" borderId="0" xfId="0" applyNumberFormat="1" applyFont="1" applyBorder="1">
      <alignment vertical="center"/>
    </xf>
    <xf numFmtId="0" fontId="9" fillId="0" borderId="37" xfId="0" applyFont="1" applyFill="1" applyBorder="1" applyAlignment="1">
      <alignment horizontal="left" vertical="center"/>
    </xf>
    <xf numFmtId="0" fontId="9" fillId="0" borderId="29" xfId="0" applyFont="1" applyFill="1" applyBorder="1" applyAlignment="1">
      <alignment horizontal="left" vertical="center"/>
    </xf>
    <xf numFmtId="0" fontId="9" fillId="0" borderId="38" xfId="0" applyFont="1" applyFill="1" applyBorder="1" applyAlignment="1">
      <alignment horizontal="left" vertical="center"/>
    </xf>
    <xf numFmtId="0" fontId="9" fillId="0" borderId="46" xfId="0" applyFont="1" applyFill="1" applyBorder="1" applyAlignment="1">
      <alignment horizontal="left" vertical="center"/>
    </xf>
    <xf numFmtId="0" fontId="9" fillId="0" borderId="28" xfId="0" applyFont="1" applyFill="1" applyBorder="1" applyAlignment="1">
      <alignment horizontal="left" vertical="center"/>
    </xf>
    <xf numFmtId="0" fontId="9" fillId="0" borderId="13" xfId="0" applyFont="1" applyFill="1" applyBorder="1">
      <alignment vertical="center"/>
    </xf>
    <xf numFmtId="0" fontId="10" fillId="0" borderId="72" xfId="2" applyFont="1" applyBorder="1" applyAlignment="1">
      <alignment vertical="center"/>
    </xf>
    <xf numFmtId="0" fontId="9" fillId="0" borderId="73" xfId="2" applyFont="1" applyBorder="1" applyAlignment="1">
      <alignment horizontal="center" vertical="center"/>
    </xf>
    <xf numFmtId="0" fontId="9" fillId="0" borderId="12" xfId="2" applyFont="1" applyBorder="1">
      <alignment vertical="center"/>
    </xf>
    <xf numFmtId="0" fontId="9" fillId="0" borderId="17" xfId="2" applyFont="1" applyBorder="1">
      <alignment vertical="center"/>
    </xf>
    <xf numFmtId="0" fontId="9" fillId="0" borderId="64" xfId="2" applyFont="1" applyBorder="1">
      <alignment vertical="center"/>
    </xf>
    <xf numFmtId="0" fontId="9" fillId="0" borderId="0" xfId="2" applyFont="1" applyBorder="1" applyAlignment="1">
      <alignment horizontal="left" vertical="center"/>
    </xf>
    <xf numFmtId="41" fontId="9" fillId="0" borderId="0" xfId="1" applyFont="1" applyBorder="1" applyAlignment="1">
      <alignment horizontal="right" vertical="center"/>
    </xf>
    <xf numFmtId="3" fontId="9" fillId="0" borderId="0" xfId="2" applyNumberFormat="1" applyFont="1" applyBorder="1">
      <alignment vertical="center"/>
    </xf>
    <xf numFmtId="0" fontId="9" fillId="0" borderId="16" xfId="2" applyFont="1" applyBorder="1">
      <alignment vertical="center"/>
    </xf>
    <xf numFmtId="0" fontId="9" fillId="0" borderId="12" xfId="0" applyFont="1" applyBorder="1" applyAlignment="1">
      <alignment horizontal="left" vertical="center"/>
    </xf>
    <xf numFmtId="0" fontId="9" fillId="0" borderId="17" xfId="2" applyFont="1" applyBorder="1" applyAlignment="1">
      <alignment horizontal="left" vertical="center"/>
    </xf>
    <xf numFmtId="0" fontId="9" fillId="0" borderId="37" xfId="0" applyFont="1" applyBorder="1" applyAlignment="1">
      <alignment horizontal="center" vertical="center"/>
    </xf>
    <xf numFmtId="0" fontId="9" fillId="0" borderId="29" xfId="0" applyFont="1" applyBorder="1" applyAlignment="1">
      <alignment horizontal="center" vertical="center"/>
    </xf>
    <xf numFmtId="41" fontId="9" fillId="0" borderId="36" xfId="1" applyFont="1" applyFill="1" applyBorder="1">
      <alignment vertical="center"/>
    </xf>
    <xf numFmtId="41" fontId="9" fillId="0" borderId="28" xfId="1" applyFont="1" applyFill="1" applyBorder="1">
      <alignment vertical="center"/>
    </xf>
    <xf numFmtId="0" fontId="9" fillId="0" borderId="61" xfId="0" applyFont="1" applyBorder="1" applyAlignment="1">
      <alignment horizontal="left" vertical="center"/>
    </xf>
    <xf numFmtId="0" fontId="9" fillId="0" borderId="29" xfId="0" applyFont="1" applyBorder="1" applyAlignment="1">
      <alignment vertical="center" wrapText="1"/>
    </xf>
    <xf numFmtId="0" fontId="9" fillId="0" borderId="37" xfId="0" applyFont="1" applyBorder="1" applyAlignment="1">
      <alignment vertical="center" wrapText="1"/>
    </xf>
    <xf numFmtId="0" fontId="9" fillId="0" borderId="37" xfId="0" applyFont="1" applyBorder="1" applyAlignment="1">
      <alignment vertical="center" wrapText="1"/>
    </xf>
    <xf numFmtId="0" fontId="9" fillId="0" borderId="47" xfId="0" applyFont="1" applyFill="1" applyBorder="1" applyAlignment="1">
      <alignment horizontal="left" vertical="center"/>
    </xf>
    <xf numFmtId="0" fontId="9" fillId="0" borderId="41" xfId="0" applyFont="1" applyFill="1" applyBorder="1" applyAlignment="1">
      <alignment vertical="center" wrapText="1"/>
    </xf>
    <xf numFmtId="0" fontId="9" fillId="0" borderId="62" xfId="0" applyFont="1" applyBorder="1" applyAlignment="1">
      <alignment horizontal="center" vertical="center"/>
    </xf>
    <xf numFmtId="4" fontId="19" fillId="0" borderId="29" xfId="1" applyNumberFormat="1" applyFont="1" applyFill="1" applyBorder="1" applyAlignment="1">
      <alignment horizontal="right" vertical="center"/>
    </xf>
    <xf numFmtId="3" fontId="8" fillId="0" borderId="29" xfId="0" applyNumberFormat="1" applyFont="1" applyBorder="1">
      <alignment vertical="center"/>
    </xf>
    <xf numFmtId="3" fontId="2" fillId="0" borderId="0" xfId="2" applyNumberFormat="1" applyFont="1">
      <alignment vertical="center"/>
    </xf>
    <xf numFmtId="3" fontId="9" fillId="0" borderId="22" xfId="0" applyNumberFormat="1" applyFont="1" applyBorder="1">
      <alignment vertical="center"/>
    </xf>
    <xf numFmtId="0" fontId="2" fillId="0" borderId="66" xfId="2" applyFont="1" applyBorder="1">
      <alignment vertical="center"/>
    </xf>
    <xf numFmtId="3" fontId="9" fillId="0" borderId="14" xfId="0" applyNumberFormat="1" applyFont="1" applyFill="1" applyBorder="1" applyAlignment="1">
      <alignment vertical="center" shrinkToFit="1"/>
    </xf>
    <xf numFmtId="0" fontId="9" fillId="0" borderId="35" xfId="0" applyFont="1" applyFill="1" applyBorder="1" applyAlignment="1">
      <alignment vertical="center" shrinkToFit="1"/>
    </xf>
    <xf numFmtId="0" fontId="9" fillId="0" borderId="46" xfId="0" applyFont="1" applyFill="1" applyBorder="1" applyAlignment="1">
      <alignment vertical="center" wrapText="1" shrinkToFit="1"/>
    </xf>
    <xf numFmtId="0" fontId="9" fillId="0" borderId="0" xfId="0" applyFont="1" applyFill="1" applyAlignment="1">
      <alignment vertical="center" wrapText="1" shrinkToFit="1"/>
    </xf>
    <xf numFmtId="0" fontId="9" fillId="0" borderId="42" xfId="0" applyFont="1" applyFill="1" applyBorder="1" applyAlignment="1">
      <alignment vertical="center" wrapText="1" shrinkToFit="1"/>
    </xf>
    <xf numFmtId="0" fontId="9" fillId="0" borderId="14" xfId="0" applyFont="1" applyBorder="1" applyAlignment="1">
      <alignment vertical="center"/>
    </xf>
    <xf numFmtId="0" fontId="9" fillId="0" borderId="13" xfId="0" applyFont="1" applyBorder="1" applyAlignment="1">
      <alignment vertical="center"/>
    </xf>
    <xf numFmtId="3" fontId="9" fillId="0" borderId="38" xfId="2" applyNumberFormat="1" applyFont="1" applyBorder="1" applyAlignment="1">
      <alignment horizontal="left" vertical="center"/>
    </xf>
    <xf numFmtId="3" fontId="9" fillId="0" borderId="50" xfId="2" applyNumberFormat="1" applyFont="1" applyBorder="1" applyAlignment="1">
      <alignment horizontal="left" vertical="center"/>
    </xf>
    <xf numFmtId="3" fontId="9" fillId="0" borderId="38" xfId="2" applyNumberFormat="1" applyFont="1" applyBorder="1">
      <alignment vertical="center"/>
    </xf>
    <xf numFmtId="3" fontId="9" fillId="0" borderId="38" xfId="1" applyNumberFormat="1" applyFont="1" applyBorder="1" applyAlignment="1">
      <alignment horizontal="left" vertical="center"/>
    </xf>
    <xf numFmtId="0" fontId="9" fillId="0" borderId="64" xfId="2" applyFont="1" applyBorder="1" applyAlignment="1">
      <alignment horizontal="left" vertical="center"/>
    </xf>
    <xf numFmtId="41" fontId="9" fillId="0" borderId="14" xfId="1" applyFont="1" applyBorder="1" applyAlignment="1">
      <alignment horizontal="right" vertical="center"/>
    </xf>
    <xf numFmtId="41" fontId="9" fillId="0" borderId="22" xfId="1" applyFont="1" applyBorder="1" applyAlignment="1">
      <alignment horizontal="left" vertical="center"/>
    </xf>
    <xf numFmtId="176" fontId="9" fillId="0" borderId="15" xfId="1" applyNumberFormat="1" applyFont="1" applyBorder="1" applyAlignment="1">
      <alignment horizontal="right" vertical="center"/>
    </xf>
    <xf numFmtId="0" fontId="9" fillId="0" borderId="12" xfId="0" applyFont="1" applyBorder="1" applyAlignment="1">
      <alignment horizontal="center" vertical="center"/>
    </xf>
    <xf numFmtId="0" fontId="9" fillId="0" borderId="16" xfId="0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61" xfId="0" applyFont="1" applyBorder="1" applyAlignment="1">
      <alignment horizontal="left" vertical="center"/>
    </xf>
    <xf numFmtId="0" fontId="9" fillId="0" borderId="40" xfId="0" applyFont="1" applyBorder="1" applyAlignment="1">
      <alignment horizontal="left" vertical="center"/>
    </xf>
    <xf numFmtId="0" fontId="9" fillId="0" borderId="13" xfId="0" applyFont="1" applyBorder="1" applyAlignment="1">
      <alignment horizontal="left" vertical="center"/>
    </xf>
    <xf numFmtId="0" fontId="9" fillId="0" borderId="14" xfId="0" applyFont="1" applyBorder="1" applyAlignment="1">
      <alignment horizontal="left" vertical="center"/>
    </xf>
    <xf numFmtId="0" fontId="9" fillId="0" borderId="62" xfId="0" applyFont="1" applyBorder="1" applyAlignment="1">
      <alignment horizontal="left" vertical="center"/>
    </xf>
    <xf numFmtId="0" fontId="9" fillId="0" borderId="44" xfId="0" applyFont="1" applyBorder="1" applyAlignment="1">
      <alignment horizontal="left" vertical="center"/>
    </xf>
    <xf numFmtId="0" fontId="9" fillId="0" borderId="28" xfId="0" applyFont="1" applyBorder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8" fillId="0" borderId="42" xfId="0" applyFont="1" applyBorder="1" applyAlignment="1">
      <alignment horizontal="left" vertical="center"/>
    </xf>
    <xf numFmtId="0" fontId="9" fillId="0" borderId="42" xfId="0" applyFont="1" applyBorder="1" applyAlignment="1">
      <alignment horizontal="left" vertical="center"/>
    </xf>
    <xf numFmtId="0" fontId="3" fillId="0" borderId="42" xfId="0" applyFont="1" applyFill="1" applyBorder="1" applyAlignment="1">
      <alignment horizontal="right" vertical="center"/>
    </xf>
    <xf numFmtId="0" fontId="0" fillId="0" borderId="42" xfId="0" applyFont="1" applyFill="1" applyBorder="1">
      <alignment vertical="center"/>
    </xf>
    <xf numFmtId="0" fontId="8" fillId="0" borderId="70" xfId="0" applyFont="1" applyBorder="1" applyAlignment="1">
      <alignment horizontal="center" vertical="center"/>
    </xf>
    <xf numFmtId="0" fontId="8" fillId="0" borderId="68" xfId="0" applyFont="1" applyBorder="1" applyAlignment="1">
      <alignment horizontal="center" vertical="center"/>
    </xf>
    <xf numFmtId="3" fontId="8" fillId="0" borderId="31" xfId="0" applyNumberFormat="1" applyFont="1" applyBorder="1" applyAlignment="1">
      <alignment horizontal="center" vertical="center" wrapText="1"/>
    </xf>
    <xf numFmtId="3" fontId="8" fillId="0" borderId="33" xfId="0" applyNumberFormat="1" applyFont="1" applyBorder="1" applyAlignment="1">
      <alignment horizontal="center" vertical="center" wrapText="1"/>
    </xf>
    <xf numFmtId="0" fontId="8" fillId="0" borderId="43" xfId="0" applyFont="1" applyBorder="1" applyAlignment="1">
      <alignment horizontal="center" vertical="center"/>
    </xf>
    <xf numFmtId="0" fontId="23" fillId="0" borderId="56" xfId="0" applyFont="1" applyFill="1" applyBorder="1" applyAlignment="1">
      <alignment horizontal="center" vertical="center"/>
    </xf>
    <xf numFmtId="0" fontId="0" fillId="0" borderId="51" xfId="0" applyFont="1" applyFill="1" applyBorder="1">
      <alignment vertical="center"/>
    </xf>
    <xf numFmtId="0" fontId="23" fillId="0" borderId="58" xfId="0" applyFont="1" applyFill="1" applyBorder="1" applyAlignment="1">
      <alignment horizontal="center" vertical="center"/>
    </xf>
    <xf numFmtId="0" fontId="0" fillId="0" borderId="59" xfId="0" applyFont="1" applyFill="1" applyBorder="1">
      <alignment vertical="center"/>
    </xf>
    <xf numFmtId="0" fontId="9" fillId="0" borderId="34" xfId="0" applyFont="1" applyBorder="1" applyAlignment="1">
      <alignment horizontal="center" vertical="center"/>
    </xf>
    <xf numFmtId="0" fontId="9" fillId="0" borderId="37" xfId="0" applyFont="1" applyBorder="1" applyAlignment="1">
      <alignment horizontal="center" vertical="center"/>
    </xf>
    <xf numFmtId="0" fontId="9" fillId="0" borderId="37" xfId="0" applyFont="1" applyFill="1" applyBorder="1" applyAlignment="1">
      <alignment vertical="center" wrapText="1"/>
    </xf>
    <xf numFmtId="0" fontId="9" fillId="0" borderId="29" xfId="0" applyFont="1" applyFill="1" applyBorder="1" applyAlignment="1">
      <alignment vertical="center" wrapText="1"/>
    </xf>
    <xf numFmtId="0" fontId="8" fillId="0" borderId="43" xfId="0" applyFont="1" applyFill="1" applyBorder="1" applyAlignment="1">
      <alignment horizontal="center" vertical="center"/>
    </xf>
    <xf numFmtId="0" fontId="9" fillId="0" borderId="27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3" fontId="8" fillId="0" borderId="33" xfId="0" applyNumberFormat="1" applyFont="1" applyBorder="1" applyAlignment="1">
      <alignment horizontal="center" vertical="center"/>
    </xf>
    <xf numFmtId="0" fontId="9" fillId="0" borderId="37" xfId="0" applyFont="1" applyBorder="1" applyAlignment="1">
      <alignment horizontal="left" vertical="center" wrapText="1"/>
    </xf>
    <xf numFmtId="0" fontId="9" fillId="0" borderId="38" xfId="0" applyFont="1" applyBorder="1" applyAlignment="1">
      <alignment vertical="center" wrapText="1"/>
    </xf>
    <xf numFmtId="0" fontId="9" fillId="0" borderId="29" xfId="0" applyFont="1" applyBorder="1" applyAlignment="1">
      <alignment vertical="center" wrapText="1"/>
    </xf>
    <xf numFmtId="0" fontId="9" fillId="0" borderId="37" xfId="0" applyFont="1" applyBorder="1" applyAlignment="1">
      <alignment vertical="center" wrapText="1"/>
    </xf>
    <xf numFmtId="0" fontId="9" fillId="0" borderId="38" xfId="0" applyFont="1" applyBorder="1" applyAlignment="1">
      <alignment horizontal="left" vertical="center" wrapText="1"/>
    </xf>
    <xf numFmtId="0" fontId="9" fillId="0" borderId="14" xfId="1" applyNumberFormat="1" applyFont="1" applyBorder="1" applyAlignment="1">
      <alignment horizontal="left" vertical="center"/>
    </xf>
    <xf numFmtId="0" fontId="9" fillId="0" borderId="40" xfId="1" applyNumberFormat="1" applyFont="1" applyBorder="1" applyAlignment="1">
      <alignment horizontal="left" vertical="center"/>
    </xf>
    <xf numFmtId="0" fontId="9" fillId="0" borderId="53" xfId="1" applyNumberFormat="1" applyFont="1" applyBorder="1" applyAlignment="1">
      <alignment horizontal="left" vertical="center"/>
    </xf>
    <xf numFmtId="3" fontId="9" fillId="0" borderId="49" xfId="2" applyNumberFormat="1" applyFont="1" applyBorder="1" applyAlignment="1">
      <alignment horizontal="left" vertical="center"/>
    </xf>
    <xf numFmtId="3" fontId="9" fillId="0" borderId="50" xfId="2" applyNumberFormat="1" applyFont="1" applyBorder="1" applyAlignment="1">
      <alignment horizontal="left" vertical="center"/>
    </xf>
    <xf numFmtId="3" fontId="9" fillId="0" borderId="54" xfId="2" applyNumberFormat="1" applyFont="1" applyBorder="1" applyAlignment="1">
      <alignment horizontal="left" vertical="center"/>
    </xf>
    <xf numFmtId="0" fontId="9" fillId="0" borderId="8" xfId="2" applyFont="1" applyBorder="1" applyAlignment="1">
      <alignment horizontal="center" vertical="center"/>
    </xf>
    <xf numFmtId="0" fontId="9" fillId="0" borderId="9" xfId="2" applyFont="1" applyBorder="1" applyAlignment="1">
      <alignment horizontal="center" vertical="center"/>
    </xf>
    <xf numFmtId="0" fontId="9" fillId="0" borderId="49" xfId="1" applyNumberFormat="1" applyFont="1" applyBorder="1" applyAlignment="1">
      <alignment horizontal="left" vertical="center"/>
    </xf>
    <xf numFmtId="0" fontId="9" fillId="0" borderId="50" xfId="1" applyNumberFormat="1" applyFont="1" applyBorder="1" applyAlignment="1">
      <alignment horizontal="left" vertical="center"/>
    </xf>
    <xf numFmtId="0" fontId="9" fillId="0" borderId="54" xfId="1" applyNumberFormat="1" applyFont="1" applyBorder="1" applyAlignment="1">
      <alignment horizontal="left" vertical="center"/>
    </xf>
  </cellXfs>
  <cellStyles count="8">
    <cellStyle name="백분율" xfId="7" builtinId="5"/>
    <cellStyle name="쉼표 [0]" xfId="1" builtinId="6"/>
    <cellStyle name="쉼표 [0] 2" xfId="3" xr:uid="{00000000-0005-0000-0000-000002000000}"/>
    <cellStyle name="쉼표 [0] 3" xfId="4" xr:uid="{00000000-0005-0000-0000-000003000000}"/>
    <cellStyle name="표준" xfId="0" builtinId="0"/>
    <cellStyle name="표준 2" xfId="2" xr:uid="{00000000-0005-0000-0000-000005000000}"/>
    <cellStyle name="표준 3" xfId="5" xr:uid="{00000000-0005-0000-0000-000006000000}"/>
    <cellStyle name="표준 4" xfId="6" xr:uid="{00000000-0005-0000-0000-000007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printerSettings" Target="../printerSettings/printerSettings3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.bin"/><Relationship Id="rId1" Type="http://schemas.openxmlformats.org/officeDocument/2006/relationships/printerSettings" Target="../printerSettings/printerSettings5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8.bin"/><Relationship Id="rId1" Type="http://schemas.openxmlformats.org/officeDocument/2006/relationships/printerSettings" Target="../printerSettings/printerSettings7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0.bin"/><Relationship Id="rId1" Type="http://schemas.openxmlformats.org/officeDocument/2006/relationships/printerSettings" Target="../printerSettings/printerSettings9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2.bin"/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9"/>
  <sheetViews>
    <sheetView tabSelected="1" view="pageBreakPreview" zoomScale="70" zoomScaleNormal="100" zoomScaleSheetLayoutView="70" workbookViewId="0"/>
  </sheetViews>
  <sheetFormatPr defaultRowHeight="13.5" x14ac:dyDescent="0.15"/>
  <cols>
    <col min="1" max="1" width="121.44140625" style="29" customWidth="1"/>
    <col min="2" max="16384" width="8.88671875" style="29"/>
  </cols>
  <sheetData>
    <row r="1" spans="1:1" ht="84.75" customHeight="1" x14ac:dyDescent="0.15">
      <c r="A1" s="1"/>
    </row>
    <row r="2" spans="1:1" ht="30" customHeight="1" x14ac:dyDescent="0.15">
      <c r="A2" s="31" t="s">
        <v>157</v>
      </c>
    </row>
    <row r="3" spans="1:1" ht="30" customHeight="1" x14ac:dyDescent="0.4">
      <c r="A3" s="32" t="s">
        <v>279</v>
      </c>
    </row>
    <row r="4" spans="1:1" ht="30" customHeight="1" x14ac:dyDescent="0.15">
      <c r="A4" s="1"/>
    </row>
    <row r="5" spans="1:1" ht="30" customHeight="1" x14ac:dyDescent="0.15">
      <c r="A5" s="1"/>
    </row>
    <row r="6" spans="1:1" ht="231" customHeight="1" x14ac:dyDescent="0.3">
      <c r="A6" s="6" t="s">
        <v>212</v>
      </c>
    </row>
    <row r="7" spans="1:1" ht="217.5" customHeight="1" x14ac:dyDescent="0.15">
      <c r="A7" s="1"/>
    </row>
    <row r="8" spans="1:1" ht="30" customHeight="1" x14ac:dyDescent="0.15">
      <c r="A8" s="2" t="s">
        <v>0</v>
      </c>
    </row>
    <row r="9" spans="1:1" ht="30" customHeight="1" x14ac:dyDescent="0.15">
      <c r="A9" s="3" t="s">
        <v>69</v>
      </c>
    </row>
  </sheetData>
  <customSheetViews>
    <customSheetView guid="{29BE6789-D580-482F-AE13-9E62D887C1AB}" scale="60" showPageBreaks="1" printArea="1" view="pageBreakPreview">
      <selection activeCell="A8" sqref="A8:A9"/>
      <pageMargins left="0.74803149606299213" right="0.74803149606299213" top="0.98425196850393704" bottom="0.98425196850393704" header="0.51181102362204722" footer="0.51181102362204722"/>
      <pageSetup paperSize="9" scale="80" firstPageNumber="183" orientation="portrait" useFirstPageNumber="1" r:id="rId1"/>
      <headerFooter alignWithMargins="0"/>
    </customSheetView>
  </customSheetViews>
  <phoneticPr fontId="2" type="noConversion"/>
  <pageMargins left="0.94488188976377963" right="0.74803149606299213" top="0.98425196850393704" bottom="0.98425196850393704" header="0.51181102362204722" footer="0.51181102362204722"/>
  <pageSetup paperSize="9" scale="92" firstPageNumber="183" fitToWidth="0" fitToHeight="0" orientation="portrait" useFirstPageNumber="1" horizontalDpi="4294967294" r:id="rId2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B21"/>
  <sheetViews>
    <sheetView view="pageBreakPreview" zoomScale="115" zoomScaleNormal="100" zoomScaleSheetLayoutView="115" workbookViewId="0">
      <selection activeCell="A4" sqref="A4"/>
    </sheetView>
  </sheetViews>
  <sheetFormatPr defaultRowHeight="13.5" x14ac:dyDescent="0.15"/>
  <cols>
    <col min="1" max="1" width="79.6640625" style="29" customWidth="1"/>
    <col min="2" max="2" width="9.5546875" style="29" bestFit="1" customWidth="1"/>
    <col min="3" max="16384" width="8.88671875" style="29"/>
  </cols>
  <sheetData>
    <row r="1" spans="1:2" ht="30" customHeight="1" x14ac:dyDescent="0.3">
      <c r="A1" s="33" t="s">
        <v>11</v>
      </c>
    </row>
    <row r="2" spans="1:2" ht="30" customHeight="1" x14ac:dyDescent="0.15">
      <c r="A2" s="34"/>
    </row>
    <row r="3" spans="1:2" ht="30" customHeight="1" x14ac:dyDescent="0.15">
      <c r="A3" s="35" t="s">
        <v>280</v>
      </c>
    </row>
    <row r="4" spans="1:2" ht="30" customHeight="1" x14ac:dyDescent="0.15">
      <c r="A4" s="35"/>
    </row>
    <row r="5" spans="1:2" ht="30" customHeight="1" x14ac:dyDescent="0.15">
      <c r="A5" s="35" t="s">
        <v>255</v>
      </c>
      <c r="B5" s="44"/>
    </row>
    <row r="6" spans="1:2" ht="30" customHeight="1" x14ac:dyDescent="0.15">
      <c r="A6" s="35"/>
    </row>
    <row r="7" spans="1:2" ht="30" customHeight="1" x14ac:dyDescent="0.15">
      <c r="A7" s="35" t="s">
        <v>118</v>
      </c>
    </row>
    <row r="8" spans="1:2" ht="30" customHeight="1" x14ac:dyDescent="0.15">
      <c r="A8" s="35"/>
    </row>
    <row r="9" spans="1:2" ht="30" customHeight="1" x14ac:dyDescent="0.15">
      <c r="A9" s="45" t="s">
        <v>93</v>
      </c>
    </row>
    <row r="10" spans="1:2" ht="30" customHeight="1" x14ac:dyDescent="0.15">
      <c r="A10" s="35"/>
    </row>
    <row r="11" spans="1:2" ht="30" customHeight="1" x14ac:dyDescent="0.15">
      <c r="A11" s="34" t="s">
        <v>100</v>
      </c>
    </row>
    <row r="12" spans="1:2" ht="30" customHeight="1" x14ac:dyDescent="0.15">
      <c r="A12" s="34" t="s">
        <v>101</v>
      </c>
    </row>
    <row r="13" spans="1:2" ht="30" customHeight="1" x14ac:dyDescent="0.15">
      <c r="A13" s="34"/>
    </row>
    <row r="14" spans="1:2" ht="30" customHeight="1" x14ac:dyDescent="0.15">
      <c r="A14" s="34" t="s">
        <v>90</v>
      </c>
    </row>
    <row r="15" spans="1:2" ht="30" customHeight="1" x14ac:dyDescent="0.15">
      <c r="A15" s="34" t="s">
        <v>94</v>
      </c>
    </row>
    <row r="16" spans="1:2" ht="30" customHeight="1" x14ac:dyDescent="0.15">
      <c r="A16" s="34"/>
    </row>
    <row r="17" spans="1:1" ht="30" customHeight="1" x14ac:dyDescent="0.15">
      <c r="A17" s="34" t="s">
        <v>102</v>
      </c>
    </row>
    <row r="18" spans="1:1" ht="30" customHeight="1" x14ac:dyDescent="0.15">
      <c r="A18" s="34" t="s">
        <v>91</v>
      </c>
    </row>
    <row r="19" spans="1:1" ht="14.25" x14ac:dyDescent="0.15">
      <c r="A19" s="34"/>
    </row>
    <row r="20" spans="1:1" ht="14.25" x14ac:dyDescent="0.15">
      <c r="A20" s="34"/>
    </row>
    <row r="21" spans="1:1" ht="20.25" x14ac:dyDescent="0.25">
      <c r="A21" s="36"/>
    </row>
  </sheetData>
  <customSheetViews>
    <customSheetView guid="{29BE6789-D580-482F-AE13-9E62D887C1AB}" showPageBreaks="1" view="pageBreakPreview">
      <selection activeCell="A5" sqref="A5"/>
      <pageMargins left="0.94488188976377963" right="0.74803149606299213" top="0.98425196850393704" bottom="0.98425196850393704" header="0.51181102362204722" footer="0.51181102362204722"/>
      <pageSetup paperSize="9" scale="80" firstPageNumber="183" orientation="portrait" useFirstPageNumber="1" r:id="rId1"/>
      <headerFooter alignWithMargins="0">
        <oddFooter xml:space="preserve">&amp;R참좋은 기억학교(2022.02.14)
</oddFooter>
      </headerFooter>
    </customSheetView>
  </customSheetViews>
  <phoneticPr fontId="2" type="noConversion"/>
  <pageMargins left="0.94488188976377963" right="0.74803149606299213" top="0.98425196850393704" bottom="0.98425196850393704" header="0.51181102362204722" footer="0.51181102362204722"/>
  <pageSetup paperSize="9" scale="81" firstPageNumber="183" orientation="portrait" useFirstPageNumber="1" r:id="rId2"/>
  <headerFooter alignWithMargins="0">
    <oddFooter xml:space="preserve">&amp;R참좋은기억학교(2024. 12. 06.)
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G26"/>
  <sheetViews>
    <sheetView showWhiteSpace="0" view="pageBreakPreview" zoomScaleNormal="100" zoomScaleSheetLayoutView="100" workbookViewId="0">
      <selection activeCell="D5" sqref="D5"/>
    </sheetView>
  </sheetViews>
  <sheetFormatPr defaultRowHeight="13.5" x14ac:dyDescent="0.15"/>
  <cols>
    <col min="1" max="1" width="14.88671875" style="5" customWidth="1"/>
    <col min="2" max="2" width="15.88671875" style="5" customWidth="1"/>
    <col min="3" max="5" width="13.77734375" style="5" customWidth="1"/>
    <col min="6" max="7" width="11.77734375" bestFit="1" customWidth="1"/>
  </cols>
  <sheetData>
    <row r="1" spans="1:7" ht="39" customHeight="1" x14ac:dyDescent="0.15">
      <c r="A1" s="321" t="s">
        <v>281</v>
      </c>
      <c r="B1" s="321"/>
      <c r="C1" s="321"/>
      <c r="D1" s="321"/>
      <c r="E1" s="321"/>
    </row>
    <row r="2" spans="1:7" ht="18" customHeight="1" x14ac:dyDescent="0.15">
      <c r="A2" s="151"/>
      <c r="B2" s="151"/>
      <c r="C2" s="151"/>
      <c r="D2" s="151"/>
      <c r="E2" s="28" t="s">
        <v>78</v>
      </c>
    </row>
    <row r="3" spans="1:7" ht="21" customHeight="1" x14ac:dyDescent="0.15">
      <c r="A3" s="322" t="s">
        <v>1</v>
      </c>
      <c r="B3" s="323"/>
      <c r="C3" s="323"/>
      <c r="D3" s="323"/>
      <c r="E3" s="324"/>
    </row>
    <row r="4" spans="1:7" ht="21" customHeight="1" thickBot="1" x14ac:dyDescent="0.2">
      <c r="A4" s="7" t="s">
        <v>2</v>
      </c>
      <c r="B4" s="8" t="s">
        <v>3</v>
      </c>
      <c r="C4" s="43" t="s">
        <v>213</v>
      </c>
      <c r="D4" s="43" t="s">
        <v>285</v>
      </c>
      <c r="E4" s="9" t="s">
        <v>4</v>
      </c>
    </row>
    <row r="5" spans="1:7" ht="21" customHeight="1" thickTop="1" x14ac:dyDescent="0.15">
      <c r="A5" s="325" t="s">
        <v>5</v>
      </c>
      <c r="B5" s="326"/>
      <c r="C5" s="10">
        <v>501300000</v>
      </c>
      <c r="D5" s="10">
        <f>D6+D7+D8+D9+D10+D11</f>
        <v>534000000</v>
      </c>
      <c r="E5" s="11">
        <f>E6+E7+E8+E9+E10+E11</f>
        <v>32700000</v>
      </c>
      <c r="G5" s="57"/>
    </row>
    <row r="6" spans="1:7" ht="21" customHeight="1" x14ac:dyDescent="0.15">
      <c r="A6" s="149" t="s">
        <v>257</v>
      </c>
      <c r="B6" s="12" t="s">
        <v>70</v>
      </c>
      <c r="C6" s="13">
        <v>69160000</v>
      </c>
      <c r="D6" s="13">
        <f>'예산내역-세입'!E7</f>
        <v>61000000</v>
      </c>
      <c r="E6" s="14">
        <f>D6-C6</f>
        <v>-8160000</v>
      </c>
      <c r="F6" s="57"/>
      <c r="G6" s="57"/>
    </row>
    <row r="7" spans="1:7" ht="21" customHeight="1" x14ac:dyDescent="0.15">
      <c r="A7" s="15" t="s">
        <v>71</v>
      </c>
      <c r="B7" s="12" t="s">
        <v>72</v>
      </c>
      <c r="C7" s="13">
        <v>393186171</v>
      </c>
      <c r="D7" s="13">
        <f>'예산내역-세입'!E11</f>
        <v>435023500</v>
      </c>
      <c r="E7" s="14">
        <f t="shared" ref="E7:E11" si="0">D7-C7</f>
        <v>41837329</v>
      </c>
      <c r="F7" s="57"/>
    </row>
    <row r="8" spans="1:7" ht="21" customHeight="1" x14ac:dyDescent="0.15">
      <c r="A8" s="150" t="s">
        <v>74</v>
      </c>
      <c r="B8" s="12" t="s">
        <v>73</v>
      </c>
      <c r="C8" s="13">
        <v>900000</v>
      </c>
      <c r="D8" s="13">
        <f>'예산내역-세입'!E21</f>
        <v>900000</v>
      </c>
      <c r="E8" s="14">
        <f t="shared" si="0"/>
        <v>0</v>
      </c>
    </row>
    <row r="9" spans="1:7" ht="21" customHeight="1" x14ac:dyDescent="0.15">
      <c r="A9" s="15" t="s">
        <v>75</v>
      </c>
      <c r="B9" s="12" t="s">
        <v>75</v>
      </c>
      <c r="C9" s="13">
        <v>5712000</v>
      </c>
      <c r="D9" s="13">
        <f>'예산내역-세입'!E26</f>
        <v>5712000</v>
      </c>
      <c r="E9" s="14">
        <f t="shared" si="0"/>
        <v>0</v>
      </c>
    </row>
    <row r="10" spans="1:7" ht="21" customHeight="1" x14ac:dyDescent="0.15">
      <c r="A10" s="16" t="s">
        <v>76</v>
      </c>
      <c r="B10" s="17" t="s">
        <v>76</v>
      </c>
      <c r="C10" s="18">
        <v>8139002</v>
      </c>
      <c r="D10" s="18">
        <f>'예산내역-세입'!E30</f>
        <v>7161673</v>
      </c>
      <c r="E10" s="19">
        <f t="shared" si="0"/>
        <v>-977329</v>
      </c>
    </row>
    <row r="11" spans="1:7" ht="21" customHeight="1" x14ac:dyDescent="0.15">
      <c r="A11" s="20" t="s">
        <v>77</v>
      </c>
      <c r="B11" s="21" t="s">
        <v>77</v>
      </c>
      <c r="C11" s="22">
        <v>24202827</v>
      </c>
      <c r="D11" s="22">
        <f>'예산내역-세입'!E38</f>
        <v>24202827</v>
      </c>
      <c r="E11" s="23">
        <f t="shared" si="0"/>
        <v>0</v>
      </c>
    </row>
    <row r="12" spans="1:7" ht="21" customHeight="1" x14ac:dyDescent="0.15">
      <c r="A12" s="75"/>
      <c r="B12" s="75"/>
      <c r="C12" s="76"/>
      <c r="D12" s="77"/>
      <c r="E12" s="78"/>
    </row>
    <row r="13" spans="1:7" ht="21" customHeight="1" x14ac:dyDescent="0.15">
      <c r="A13" s="79"/>
      <c r="B13" s="79"/>
      <c r="C13" s="79"/>
      <c r="D13" s="79"/>
      <c r="E13" s="27" t="s">
        <v>78</v>
      </c>
    </row>
    <row r="14" spans="1:7" ht="21" customHeight="1" x14ac:dyDescent="0.15">
      <c r="A14" s="322" t="s">
        <v>6</v>
      </c>
      <c r="B14" s="323"/>
      <c r="C14" s="323"/>
      <c r="D14" s="323"/>
      <c r="E14" s="324"/>
    </row>
    <row r="15" spans="1:7" ht="21" customHeight="1" thickBot="1" x14ac:dyDescent="0.2">
      <c r="A15" s="7" t="s">
        <v>7</v>
      </c>
      <c r="B15" s="8" t="s">
        <v>8</v>
      </c>
      <c r="C15" s="43" t="s">
        <v>213</v>
      </c>
      <c r="D15" s="43" t="s">
        <v>214</v>
      </c>
      <c r="E15" s="9" t="s">
        <v>9</v>
      </c>
    </row>
    <row r="16" spans="1:7" ht="21" customHeight="1" thickTop="1" x14ac:dyDescent="0.15">
      <c r="A16" s="325" t="s">
        <v>10</v>
      </c>
      <c r="B16" s="327"/>
      <c r="C16" s="299">
        <v>501299999.85474932</v>
      </c>
      <c r="D16" s="10">
        <f>SUM(D17:D24)</f>
        <v>533999999.83099884</v>
      </c>
      <c r="E16" s="11">
        <f>E17+E18+E19+E20+E21+E22+E23+E24</f>
        <v>32699999.976249516</v>
      </c>
      <c r="F16" s="57"/>
    </row>
    <row r="17" spans="1:7" ht="21" customHeight="1" x14ac:dyDescent="0.15">
      <c r="A17" s="318" t="s">
        <v>79</v>
      </c>
      <c r="B17" s="24" t="s">
        <v>80</v>
      </c>
      <c r="C17" s="26">
        <v>376599956.85474932</v>
      </c>
      <c r="D17" s="25">
        <f>'예산내역-세출'!E8</f>
        <v>373407960.83099884</v>
      </c>
      <c r="E17" s="37">
        <f>D17-C17</f>
        <v>-3191996.023750484</v>
      </c>
      <c r="F17" s="57"/>
      <c r="G17" s="57"/>
    </row>
    <row r="18" spans="1:7" ht="21" customHeight="1" x14ac:dyDescent="0.15">
      <c r="A18" s="319"/>
      <c r="B18" s="12" t="s">
        <v>82</v>
      </c>
      <c r="C18" s="26">
        <v>6580000</v>
      </c>
      <c r="D18" s="26">
        <f>'예산내역-세출'!E50</f>
        <v>5400000</v>
      </c>
      <c r="E18" s="37">
        <f t="shared" ref="E18:E24" si="1">D18-C18</f>
        <v>-1180000</v>
      </c>
      <c r="F18" s="57"/>
      <c r="G18" s="57"/>
    </row>
    <row r="19" spans="1:7" ht="21" customHeight="1" x14ac:dyDescent="0.15">
      <c r="A19" s="320"/>
      <c r="B19" s="12" t="s">
        <v>81</v>
      </c>
      <c r="C19" s="26">
        <v>45674700</v>
      </c>
      <c r="D19" s="26">
        <f>'예산내역-세출'!E59</f>
        <v>51625380</v>
      </c>
      <c r="E19" s="37">
        <f t="shared" si="1"/>
        <v>5950680</v>
      </c>
    </row>
    <row r="20" spans="1:7" ht="21" customHeight="1" x14ac:dyDescent="0.15">
      <c r="A20" s="15" t="s">
        <v>83</v>
      </c>
      <c r="B20" s="12" t="s">
        <v>84</v>
      </c>
      <c r="C20" s="26">
        <v>23041996</v>
      </c>
      <c r="D20" s="26">
        <f>'예산내역-세출'!E89</f>
        <v>60484986</v>
      </c>
      <c r="E20" s="37">
        <f t="shared" si="1"/>
        <v>37442990</v>
      </c>
    </row>
    <row r="21" spans="1:7" ht="21" customHeight="1" x14ac:dyDescent="0.15">
      <c r="A21" s="318" t="s">
        <v>85</v>
      </c>
      <c r="B21" s="12" t="s">
        <v>81</v>
      </c>
      <c r="C21" s="26">
        <v>27700000</v>
      </c>
      <c r="D21" s="26">
        <f>'예산내역-세출'!E105</f>
        <v>25700000</v>
      </c>
      <c r="E21" s="37">
        <f t="shared" si="1"/>
        <v>-2000000</v>
      </c>
    </row>
    <row r="22" spans="1:7" ht="21" customHeight="1" x14ac:dyDescent="0.15">
      <c r="A22" s="319"/>
      <c r="B22" s="12" t="s">
        <v>85</v>
      </c>
      <c r="C22" s="26">
        <v>14649930</v>
      </c>
      <c r="D22" s="26">
        <f>'예산내역-세출'!E113</f>
        <v>11791380</v>
      </c>
      <c r="E22" s="37">
        <f t="shared" si="1"/>
        <v>-2858550</v>
      </c>
    </row>
    <row r="23" spans="1:7" ht="21" customHeight="1" x14ac:dyDescent="0.15">
      <c r="A23" s="320"/>
      <c r="B23" s="12" t="s">
        <v>87</v>
      </c>
      <c r="C23" s="26">
        <v>6973000</v>
      </c>
      <c r="D23" s="26">
        <f>'예산내역-세출'!E141</f>
        <v>3973000</v>
      </c>
      <c r="E23" s="37">
        <f t="shared" si="1"/>
        <v>-3000000</v>
      </c>
    </row>
    <row r="24" spans="1:7" ht="21" customHeight="1" x14ac:dyDescent="0.15">
      <c r="A24" s="20" t="s">
        <v>86</v>
      </c>
      <c r="B24" s="21" t="s">
        <v>86</v>
      </c>
      <c r="C24" s="22">
        <v>80417</v>
      </c>
      <c r="D24" s="22">
        <f>'예산내역-세출'!E155</f>
        <v>1617293</v>
      </c>
      <c r="E24" s="301">
        <f t="shared" si="1"/>
        <v>1536876</v>
      </c>
    </row>
    <row r="25" spans="1:7" x14ac:dyDescent="0.15">
      <c r="A25" s="4"/>
      <c r="B25" s="4"/>
      <c r="E25" s="302"/>
    </row>
    <row r="26" spans="1:7" x14ac:dyDescent="0.15">
      <c r="C26" s="300"/>
    </row>
  </sheetData>
  <customSheetViews>
    <customSheetView guid="{29BE6789-D580-482F-AE13-9E62D887C1AB}" showPageBreaks="1" printArea="1" view="pageBreakPreview">
      <selection activeCell="C16" sqref="C16"/>
      <pageMargins left="0.94488188976377963" right="0.74803149606299213" top="0.98425196850393704" bottom="0.98425196850393704" header="0.51181102362204722" footer="0.51181102362204722"/>
      <pageSetup paperSize="9" firstPageNumber="185" orientation="portrait" useFirstPageNumber="1" r:id="rId1"/>
      <headerFooter alignWithMargins="0">
        <oddFooter xml:space="preserve">&amp;R참좋은 기억학교(2022.02.14)
</oddFooter>
      </headerFooter>
    </customSheetView>
  </customSheetViews>
  <mergeCells count="7">
    <mergeCell ref="A17:A19"/>
    <mergeCell ref="A21:A23"/>
    <mergeCell ref="A1:E1"/>
    <mergeCell ref="A3:E3"/>
    <mergeCell ref="A5:B5"/>
    <mergeCell ref="A14:E14"/>
    <mergeCell ref="A16:B16"/>
  </mergeCells>
  <phoneticPr fontId="2" type="noConversion"/>
  <pageMargins left="0.94488188976377963" right="0.74803149606299213" top="0.98425196850393704" bottom="0.98425196850393704" header="0.51181102362204722" footer="0.51181102362204722"/>
  <pageSetup paperSize="9" firstPageNumber="185" orientation="portrait" useFirstPageNumber="1" r:id="rId2"/>
  <headerFooter alignWithMargins="0">
    <oddFooter xml:space="preserve">&amp;R참좋은기억학교(2024. 12. 06.)
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M47"/>
  <sheetViews>
    <sheetView showWhiteSpace="0" view="pageBreakPreview" zoomScaleNormal="100" zoomScaleSheetLayoutView="100" workbookViewId="0">
      <selection sqref="A1:H1"/>
    </sheetView>
  </sheetViews>
  <sheetFormatPr defaultRowHeight="13.5" x14ac:dyDescent="0.15"/>
  <cols>
    <col min="1" max="1" width="9.44140625" style="29" customWidth="1"/>
    <col min="2" max="2" width="10.21875" style="29" customWidth="1"/>
    <col min="3" max="3" width="12.6640625" style="29" customWidth="1"/>
    <col min="4" max="4" width="12.6640625" style="44" customWidth="1"/>
    <col min="5" max="5" width="13" style="44" customWidth="1"/>
    <col min="6" max="6" width="11.77734375" style="44" customWidth="1"/>
    <col min="7" max="7" width="10.109375" style="173" customWidth="1"/>
    <col min="8" max="8" width="40.33203125" style="228" customWidth="1"/>
    <col min="9" max="9" width="14" style="97" bestFit="1" customWidth="1"/>
    <col min="10" max="10" width="12.44140625" style="29" bestFit="1" customWidth="1"/>
    <col min="11" max="11" width="14" style="97" bestFit="1" customWidth="1"/>
    <col min="12" max="13" width="12.44140625" style="29" bestFit="1" customWidth="1"/>
    <col min="14" max="16384" width="8.88671875" style="29"/>
  </cols>
  <sheetData>
    <row r="1" spans="1:13" ht="20.100000000000001" customHeight="1" x14ac:dyDescent="0.15">
      <c r="A1" s="335" t="s">
        <v>282</v>
      </c>
      <c r="B1" s="335"/>
      <c r="C1" s="335"/>
      <c r="D1" s="335"/>
      <c r="E1" s="335"/>
      <c r="F1" s="335"/>
      <c r="G1" s="335"/>
      <c r="H1" s="335"/>
    </row>
    <row r="2" spans="1:13" ht="20.100000000000001" customHeight="1" x14ac:dyDescent="0.15">
      <c r="A2" s="71"/>
      <c r="B2" s="71"/>
      <c r="C2" s="71"/>
      <c r="D2" s="69"/>
      <c r="E2" s="69"/>
      <c r="F2" s="69"/>
      <c r="G2" s="161"/>
      <c r="H2" s="210"/>
    </row>
    <row r="3" spans="1:13" ht="20.100000000000001" customHeight="1" x14ac:dyDescent="0.15">
      <c r="A3" s="336" t="s">
        <v>150</v>
      </c>
      <c r="B3" s="337"/>
      <c r="C3" s="337"/>
      <c r="D3" s="78"/>
      <c r="E3" s="80"/>
      <c r="F3" s="78"/>
      <c r="G3" s="162"/>
      <c r="H3" s="338" t="s">
        <v>12</v>
      </c>
      <c r="I3" s="339"/>
    </row>
    <row r="4" spans="1:13" ht="20.100000000000001" customHeight="1" x14ac:dyDescent="0.15">
      <c r="A4" s="340" t="s">
        <v>13</v>
      </c>
      <c r="B4" s="341"/>
      <c r="C4" s="323"/>
      <c r="D4" s="342" t="str">
        <f>예산총괄!C4</f>
        <v>2024년 2차 추경
(A)</v>
      </c>
      <c r="E4" s="342" t="str">
        <f>예산총괄!D4</f>
        <v>2024년 결산 추경
(B)</v>
      </c>
      <c r="F4" s="344" t="s">
        <v>4</v>
      </c>
      <c r="G4" s="344"/>
      <c r="H4" s="345" t="s">
        <v>14</v>
      </c>
      <c r="I4" s="346"/>
    </row>
    <row r="5" spans="1:13" ht="22.5" customHeight="1" thickBot="1" x14ac:dyDescent="0.2">
      <c r="A5" s="7" t="s">
        <v>15</v>
      </c>
      <c r="B5" s="98" t="s">
        <v>16</v>
      </c>
      <c r="C5" s="98" t="s">
        <v>17</v>
      </c>
      <c r="D5" s="343"/>
      <c r="E5" s="343"/>
      <c r="F5" s="82" t="s">
        <v>139</v>
      </c>
      <c r="G5" s="163" t="s">
        <v>18</v>
      </c>
      <c r="H5" s="347"/>
      <c r="I5" s="348"/>
    </row>
    <row r="6" spans="1:13" ht="20.100000000000001" customHeight="1" thickTop="1" x14ac:dyDescent="0.15">
      <c r="A6" s="325"/>
      <c r="B6" s="349"/>
      <c r="C6" s="327"/>
      <c r="D6" s="83">
        <v>501300000</v>
      </c>
      <c r="E6" s="83">
        <f>E7+E11+E30+E38+E26+E21</f>
        <v>534000000</v>
      </c>
      <c r="F6" s="84">
        <f>E6-D6</f>
        <v>32700000</v>
      </c>
      <c r="G6" s="164">
        <f>F6/E6*100</f>
        <v>6.1235955056179776</v>
      </c>
      <c r="H6" s="252"/>
      <c r="I6" s="236"/>
      <c r="J6" s="44"/>
    </row>
    <row r="7" spans="1:13" ht="20.100000000000001" customHeight="1" x14ac:dyDescent="0.15">
      <c r="A7" s="328" t="s">
        <v>27</v>
      </c>
      <c r="B7" s="329"/>
      <c r="C7" s="330"/>
      <c r="D7" s="85">
        <v>69160000</v>
      </c>
      <c r="E7" s="85">
        <f>I10</f>
        <v>61000000</v>
      </c>
      <c r="F7" s="84">
        <f t="shared" ref="F7:F40" si="0">E7-D7</f>
        <v>-8160000</v>
      </c>
      <c r="G7" s="164">
        <f>F7/E7*100</f>
        <v>-13.377049180327868</v>
      </c>
      <c r="H7" s="256" t="s">
        <v>28</v>
      </c>
      <c r="I7" s="237"/>
    </row>
    <row r="8" spans="1:13" ht="20.100000000000001" customHeight="1" x14ac:dyDescent="0.15">
      <c r="A8" s="319"/>
      <c r="B8" s="308" t="s">
        <v>28</v>
      </c>
      <c r="C8" s="309"/>
      <c r="D8" s="86">
        <v>69160000</v>
      </c>
      <c r="E8" s="86">
        <f>E9</f>
        <v>61000000</v>
      </c>
      <c r="F8" s="87">
        <f t="shared" si="0"/>
        <v>-8160000</v>
      </c>
      <c r="G8" s="165">
        <f>F8/E8*100</f>
        <v>-13.377049180327868</v>
      </c>
      <c r="H8" s="256" t="s">
        <v>28</v>
      </c>
      <c r="I8" s="237"/>
      <c r="J8" s="44"/>
    </row>
    <row r="9" spans="1:13" ht="20.100000000000001" customHeight="1" x14ac:dyDescent="0.15">
      <c r="A9" s="319"/>
      <c r="B9" s="350"/>
      <c r="C9" s="30" t="s">
        <v>28</v>
      </c>
      <c r="D9" s="88">
        <v>69160000</v>
      </c>
      <c r="E9" s="88">
        <f>I10</f>
        <v>61000000</v>
      </c>
      <c r="F9" s="92">
        <f t="shared" si="0"/>
        <v>-8160000</v>
      </c>
      <c r="G9" s="166">
        <f>F9/E9*100</f>
        <v>-13.377049180327868</v>
      </c>
      <c r="H9" s="250" t="s">
        <v>28</v>
      </c>
      <c r="I9" s="238"/>
    </row>
    <row r="10" spans="1:13" ht="20.100000000000001" customHeight="1" x14ac:dyDescent="0.15">
      <c r="A10" s="319"/>
      <c r="B10" s="350"/>
      <c r="C10" s="74"/>
      <c r="D10" s="89"/>
      <c r="E10" s="89"/>
      <c r="F10" s="90"/>
      <c r="G10" s="167"/>
      <c r="H10" s="239" t="s">
        <v>252</v>
      </c>
      <c r="I10" s="240">
        <f>10000*25*244</f>
        <v>61000000</v>
      </c>
    </row>
    <row r="11" spans="1:13" ht="20.100000000000001" customHeight="1" x14ac:dyDescent="0.15">
      <c r="A11" s="328" t="s">
        <v>29</v>
      </c>
      <c r="B11" s="329"/>
      <c r="C11" s="330"/>
      <c r="D11" s="91">
        <v>393186171</v>
      </c>
      <c r="E11" s="91">
        <f>E12</f>
        <v>435023500</v>
      </c>
      <c r="F11" s="85">
        <f t="shared" si="0"/>
        <v>41837329</v>
      </c>
      <c r="G11" s="168">
        <f>F11/E11*100</f>
        <v>9.6172572286324769</v>
      </c>
      <c r="H11" s="256" t="s">
        <v>29</v>
      </c>
      <c r="I11" s="237"/>
      <c r="J11" s="44"/>
    </row>
    <row r="12" spans="1:13" ht="20.100000000000001" customHeight="1" x14ac:dyDescent="0.15">
      <c r="A12" s="99"/>
      <c r="B12" s="308" t="s">
        <v>29</v>
      </c>
      <c r="C12" s="309"/>
      <c r="D12" s="88">
        <v>393186171</v>
      </c>
      <c r="E12" s="88">
        <f>SUM(E13:E20)</f>
        <v>435023500</v>
      </c>
      <c r="F12" s="87">
        <f t="shared" si="0"/>
        <v>41837329</v>
      </c>
      <c r="G12" s="165">
        <f>F12/E12*100</f>
        <v>9.6172572286324769</v>
      </c>
      <c r="H12" s="256" t="s">
        <v>35</v>
      </c>
      <c r="I12" s="237"/>
      <c r="M12" s="97"/>
    </row>
    <row r="13" spans="1:13" ht="20.100000000000001" customHeight="1" x14ac:dyDescent="0.15">
      <c r="A13" s="99" t="s">
        <v>121</v>
      </c>
      <c r="B13" s="222"/>
      <c r="C13" s="100" t="s">
        <v>108</v>
      </c>
      <c r="D13" s="26">
        <v>0</v>
      </c>
      <c r="E13" s="26">
        <v>0</v>
      </c>
      <c r="F13" s="86">
        <f>E13-D13</f>
        <v>0</v>
      </c>
      <c r="G13" s="165">
        <v>0</v>
      </c>
      <c r="H13" s="256" t="s">
        <v>107</v>
      </c>
      <c r="I13" s="237"/>
      <c r="M13" s="72"/>
    </row>
    <row r="14" spans="1:13" ht="20.100000000000001" customHeight="1" x14ac:dyDescent="0.15">
      <c r="A14" s="99"/>
      <c r="B14" s="222"/>
      <c r="C14" s="30" t="s">
        <v>109</v>
      </c>
      <c r="D14" s="88">
        <v>0</v>
      </c>
      <c r="E14" s="88">
        <v>0</v>
      </c>
      <c r="F14" s="92">
        <f t="shared" si="0"/>
        <v>0</v>
      </c>
      <c r="G14" s="165">
        <v>0</v>
      </c>
      <c r="H14" s="256" t="s">
        <v>128</v>
      </c>
      <c r="I14" s="237"/>
      <c r="L14" s="72"/>
    </row>
    <row r="15" spans="1:13" ht="20.100000000000001" customHeight="1" x14ac:dyDescent="0.15">
      <c r="A15" s="99"/>
      <c r="B15" s="222"/>
      <c r="C15" s="30" t="s">
        <v>110</v>
      </c>
      <c r="D15" s="88">
        <v>393186171</v>
      </c>
      <c r="E15" s="88">
        <f>I16+I17</f>
        <v>390035000</v>
      </c>
      <c r="F15" s="92">
        <f t="shared" si="0"/>
        <v>-3151171</v>
      </c>
      <c r="G15" s="166">
        <f>F15/E15*100</f>
        <v>-0.80792005845629244</v>
      </c>
      <c r="H15" s="250" t="s">
        <v>106</v>
      </c>
      <c r="I15" s="238"/>
    </row>
    <row r="16" spans="1:13" ht="20.100000000000001" customHeight="1" x14ac:dyDescent="0.15">
      <c r="A16" s="99"/>
      <c r="B16" s="222"/>
      <c r="C16" s="74"/>
      <c r="D16" s="89"/>
      <c r="E16" s="89"/>
      <c r="F16" s="90"/>
      <c r="G16" s="169"/>
      <c r="H16" s="239" t="s">
        <v>215</v>
      </c>
      <c r="I16" s="240">
        <f>92008750*4</f>
        <v>368035000</v>
      </c>
      <c r="J16" s="97"/>
      <c r="L16" s="44"/>
    </row>
    <row r="17" spans="1:12" ht="20.100000000000001" customHeight="1" x14ac:dyDescent="0.15">
      <c r="A17" s="99"/>
      <c r="B17" s="222"/>
      <c r="C17" s="74"/>
      <c r="D17" s="89"/>
      <c r="E17" s="89"/>
      <c r="F17" s="90"/>
      <c r="G17" s="169"/>
      <c r="H17" s="252" t="s">
        <v>127</v>
      </c>
      <c r="I17" s="242">
        <f>5500000*4</f>
        <v>22000000</v>
      </c>
      <c r="J17" s="97"/>
      <c r="L17" s="44"/>
    </row>
    <row r="18" spans="1:12" ht="20.100000000000001" customHeight="1" x14ac:dyDescent="0.15">
      <c r="A18" s="99"/>
      <c r="B18" s="287"/>
      <c r="C18" s="30" t="s">
        <v>216</v>
      </c>
      <c r="D18" s="88">
        <v>0</v>
      </c>
      <c r="E18" s="88">
        <f>I19+I20</f>
        <v>44988500</v>
      </c>
      <c r="F18" s="92">
        <f t="shared" ref="F18" si="1">E18-D18</f>
        <v>44988500</v>
      </c>
      <c r="G18" s="170">
        <f>F18/E18*100</f>
        <v>100</v>
      </c>
      <c r="H18" s="239" t="s">
        <v>217</v>
      </c>
      <c r="I18" s="240"/>
      <c r="J18" s="97"/>
      <c r="L18" s="44"/>
    </row>
    <row r="19" spans="1:12" ht="20.100000000000001" customHeight="1" x14ac:dyDescent="0.15">
      <c r="A19" s="99"/>
      <c r="B19" s="287"/>
      <c r="C19" s="74"/>
      <c r="D19" s="89"/>
      <c r="E19" s="89"/>
      <c r="F19" s="90"/>
      <c r="G19" s="169"/>
      <c r="H19" s="239" t="s">
        <v>218</v>
      </c>
      <c r="I19" s="240">
        <v>40000000</v>
      </c>
      <c r="J19" s="97"/>
      <c r="L19" s="44"/>
    </row>
    <row r="20" spans="1:12" ht="20.100000000000001" customHeight="1" x14ac:dyDescent="0.15">
      <c r="A20" s="99"/>
      <c r="B20" s="288"/>
      <c r="C20" s="106"/>
      <c r="D20" s="25"/>
      <c r="E20" s="25"/>
      <c r="F20" s="87"/>
      <c r="G20" s="165"/>
      <c r="H20" s="239" t="s">
        <v>242</v>
      </c>
      <c r="I20" s="240">
        <v>4988500</v>
      </c>
      <c r="J20" s="97"/>
      <c r="L20" s="44"/>
    </row>
    <row r="21" spans="1:12" ht="20.100000000000001" customHeight="1" x14ac:dyDescent="0.15">
      <c r="A21" s="328" t="s">
        <v>30</v>
      </c>
      <c r="B21" s="329"/>
      <c r="C21" s="330"/>
      <c r="D21" s="91">
        <v>900000</v>
      </c>
      <c r="E21" s="91">
        <f>E22</f>
        <v>900000</v>
      </c>
      <c r="F21" s="85">
        <f t="shared" ref="F21:F34" si="2">E21-D21</f>
        <v>0</v>
      </c>
      <c r="G21" s="165">
        <f>F21/E21*100</f>
        <v>0</v>
      </c>
      <c r="H21" s="256" t="s">
        <v>30</v>
      </c>
      <c r="I21" s="237"/>
      <c r="L21" s="72"/>
    </row>
    <row r="22" spans="1:12" ht="20.100000000000001" customHeight="1" x14ac:dyDescent="0.15">
      <c r="A22" s="99"/>
      <c r="B22" s="331" t="s">
        <v>30</v>
      </c>
      <c r="C22" s="330"/>
      <c r="D22" s="26">
        <v>900000</v>
      </c>
      <c r="E22" s="26">
        <f>SUM(E23:E25)</f>
        <v>900000</v>
      </c>
      <c r="F22" s="87">
        <f t="shared" si="2"/>
        <v>0</v>
      </c>
      <c r="G22" s="165">
        <f>F22/E22*100</f>
        <v>0</v>
      </c>
      <c r="H22" s="256" t="s">
        <v>30</v>
      </c>
      <c r="I22" s="237"/>
      <c r="L22" s="72"/>
    </row>
    <row r="23" spans="1:12" ht="20.100000000000001" customHeight="1" x14ac:dyDescent="0.15">
      <c r="A23" s="99"/>
      <c r="B23" s="101"/>
      <c r="C23" s="100" t="s">
        <v>31</v>
      </c>
      <c r="D23" s="26">
        <v>0</v>
      </c>
      <c r="E23" s="26">
        <f>I23</f>
        <v>0</v>
      </c>
      <c r="F23" s="90">
        <f t="shared" si="2"/>
        <v>0</v>
      </c>
      <c r="G23" s="158">
        <v>0</v>
      </c>
      <c r="H23" s="256" t="s">
        <v>31</v>
      </c>
      <c r="I23" s="237">
        <v>0</v>
      </c>
      <c r="L23" s="72"/>
    </row>
    <row r="24" spans="1:12" ht="20.100000000000001" customHeight="1" x14ac:dyDescent="0.15">
      <c r="A24" s="99"/>
      <c r="B24" s="222"/>
      <c r="C24" s="30" t="s">
        <v>32</v>
      </c>
      <c r="D24" s="88">
        <v>900000</v>
      </c>
      <c r="E24" s="88">
        <f>I25</f>
        <v>900000</v>
      </c>
      <c r="F24" s="92">
        <f t="shared" si="2"/>
        <v>0</v>
      </c>
      <c r="G24" s="159">
        <f>F24/E24*100</f>
        <v>0</v>
      </c>
      <c r="H24" s="250" t="s">
        <v>32</v>
      </c>
      <c r="I24" s="238"/>
      <c r="L24" s="72"/>
    </row>
    <row r="25" spans="1:12" ht="20.100000000000001" customHeight="1" x14ac:dyDescent="0.15">
      <c r="A25" s="209"/>
      <c r="B25" s="102"/>
      <c r="C25" s="109"/>
      <c r="D25" s="206"/>
      <c r="E25" s="206"/>
      <c r="F25" s="93"/>
      <c r="G25" s="208"/>
      <c r="H25" s="248" t="s">
        <v>160</v>
      </c>
      <c r="I25" s="241">
        <f>100000*9</f>
        <v>900000</v>
      </c>
      <c r="L25" s="72"/>
    </row>
    <row r="26" spans="1:12" ht="20.100000000000001" customHeight="1" x14ac:dyDescent="0.15">
      <c r="A26" s="332" t="s">
        <v>34</v>
      </c>
      <c r="B26" s="333"/>
      <c r="C26" s="334"/>
      <c r="D26" s="299">
        <v>5712000</v>
      </c>
      <c r="E26" s="299">
        <f>I29+I27</f>
        <v>5712000</v>
      </c>
      <c r="F26" s="84">
        <f t="shared" si="2"/>
        <v>0</v>
      </c>
      <c r="G26" s="158">
        <f>F26/E26*100</f>
        <v>0</v>
      </c>
      <c r="H26" s="252" t="s">
        <v>34</v>
      </c>
      <c r="I26" s="242"/>
      <c r="L26" s="44"/>
    </row>
    <row r="27" spans="1:12" ht="20.100000000000001" customHeight="1" x14ac:dyDescent="0.15">
      <c r="A27" s="99"/>
      <c r="B27" s="331" t="s">
        <v>34</v>
      </c>
      <c r="C27" s="330"/>
      <c r="D27" s="26">
        <v>5712000</v>
      </c>
      <c r="E27" s="26">
        <f>I29</f>
        <v>5712000</v>
      </c>
      <c r="F27" s="87">
        <f t="shared" si="2"/>
        <v>0</v>
      </c>
      <c r="G27" s="158">
        <f>F27/E27*100</f>
        <v>0</v>
      </c>
      <c r="H27" s="256" t="s">
        <v>34</v>
      </c>
      <c r="I27" s="237">
        <v>0</v>
      </c>
      <c r="L27" s="72"/>
    </row>
    <row r="28" spans="1:12" ht="20.100000000000001" customHeight="1" x14ac:dyDescent="0.15">
      <c r="A28" s="217"/>
      <c r="B28" s="222"/>
      <c r="C28" s="30" t="s">
        <v>163</v>
      </c>
      <c r="D28" s="88">
        <v>5712000</v>
      </c>
      <c r="E28" s="88">
        <v>5712000</v>
      </c>
      <c r="F28" s="92">
        <f t="shared" ref="F28" si="3">E28-D28</f>
        <v>0</v>
      </c>
      <c r="G28" s="207">
        <f>F28/E28*100</f>
        <v>0</v>
      </c>
      <c r="H28" s="250" t="s">
        <v>163</v>
      </c>
      <c r="I28" s="238"/>
      <c r="L28" s="72"/>
    </row>
    <row r="29" spans="1:12" ht="20.100000000000001" customHeight="1" x14ac:dyDescent="0.15">
      <c r="A29" s="297"/>
      <c r="B29" s="288"/>
      <c r="C29" s="100"/>
      <c r="D29" s="25"/>
      <c r="E29" s="25"/>
      <c r="F29" s="87"/>
      <c r="G29" s="160"/>
      <c r="H29" s="252" t="s">
        <v>164</v>
      </c>
      <c r="I29" s="242">
        <f>476000*12</f>
        <v>5712000</v>
      </c>
      <c r="L29" s="72"/>
    </row>
    <row r="30" spans="1:12" ht="20.100000000000001" customHeight="1" x14ac:dyDescent="0.15">
      <c r="A30" s="332" t="s">
        <v>21</v>
      </c>
      <c r="B30" s="333"/>
      <c r="C30" s="334"/>
      <c r="D30" s="84">
        <v>8139002</v>
      </c>
      <c r="E30" s="84">
        <f>E31</f>
        <v>7161673</v>
      </c>
      <c r="F30" s="84">
        <f t="shared" si="2"/>
        <v>-977329</v>
      </c>
      <c r="G30" s="298">
        <f>F30/E30*100</f>
        <v>-13.646657701349952</v>
      </c>
      <c r="H30" s="252" t="s">
        <v>21</v>
      </c>
      <c r="I30" s="242"/>
      <c r="K30" s="103"/>
      <c r="L30" s="72"/>
    </row>
    <row r="31" spans="1:12" ht="20.100000000000001" customHeight="1" x14ac:dyDescent="0.15">
      <c r="A31" s="104"/>
      <c r="B31" s="105" t="s">
        <v>21</v>
      </c>
      <c r="C31" s="106"/>
      <c r="D31" s="87">
        <v>8139002</v>
      </c>
      <c r="E31" s="87">
        <f>E32+E34</f>
        <v>7161673</v>
      </c>
      <c r="F31" s="87">
        <f t="shared" si="2"/>
        <v>-977329</v>
      </c>
      <c r="G31" s="165">
        <f>F31/E31*100</f>
        <v>-13.646657701349952</v>
      </c>
      <c r="H31" s="252" t="s">
        <v>21</v>
      </c>
      <c r="I31" s="242"/>
      <c r="L31" s="72"/>
    </row>
    <row r="32" spans="1:12" ht="20.100000000000001" customHeight="1" x14ac:dyDescent="0.15">
      <c r="A32" s="104"/>
      <c r="B32" s="101"/>
      <c r="C32" s="74" t="s">
        <v>89</v>
      </c>
      <c r="D32" s="90">
        <v>20000</v>
      </c>
      <c r="E32" s="90">
        <f>I33</f>
        <v>20000</v>
      </c>
      <c r="F32" s="90">
        <f t="shared" si="2"/>
        <v>0</v>
      </c>
      <c r="G32" s="169">
        <f>F32/E32*100</f>
        <v>0</v>
      </c>
      <c r="H32" s="239" t="s">
        <v>89</v>
      </c>
      <c r="I32" s="240"/>
      <c r="L32" s="72"/>
    </row>
    <row r="33" spans="1:12" ht="20.100000000000001" customHeight="1" x14ac:dyDescent="0.15">
      <c r="A33" s="73"/>
      <c r="B33" s="101"/>
      <c r="C33" s="100"/>
      <c r="D33" s="87"/>
      <c r="E33" s="87"/>
      <c r="F33" s="87"/>
      <c r="G33" s="167"/>
      <c r="H33" s="239" t="s">
        <v>186</v>
      </c>
      <c r="I33" s="240">
        <f>10000*2</f>
        <v>20000</v>
      </c>
      <c r="L33" s="72"/>
    </row>
    <row r="34" spans="1:12" ht="20.100000000000001" customHeight="1" x14ac:dyDescent="0.15">
      <c r="A34" s="73"/>
      <c r="B34" s="74"/>
      <c r="C34" s="30" t="s">
        <v>33</v>
      </c>
      <c r="D34" s="92">
        <v>8119002</v>
      </c>
      <c r="E34" s="92">
        <f>I35+I36+I37</f>
        <v>7141673</v>
      </c>
      <c r="F34" s="92">
        <f t="shared" si="2"/>
        <v>-977329</v>
      </c>
      <c r="G34" s="170">
        <f>F34/E34*100</f>
        <v>-13.684874678524206</v>
      </c>
      <c r="H34" s="250" t="s">
        <v>33</v>
      </c>
      <c r="I34" s="238"/>
      <c r="L34" s="72"/>
    </row>
    <row r="35" spans="1:12" ht="20.100000000000001" customHeight="1" x14ac:dyDescent="0.15">
      <c r="A35" s="73"/>
      <c r="B35" s="101"/>
      <c r="C35" s="74"/>
      <c r="D35" s="90"/>
      <c r="E35" s="90"/>
      <c r="F35" s="90"/>
      <c r="G35" s="169"/>
      <c r="H35" s="239" t="s">
        <v>132</v>
      </c>
      <c r="I35" s="240">
        <f>50000*10*12</f>
        <v>6000000</v>
      </c>
      <c r="L35" s="72"/>
    </row>
    <row r="36" spans="1:12" ht="20.100000000000001" customHeight="1" x14ac:dyDescent="0.15">
      <c r="A36" s="73"/>
      <c r="B36" s="101"/>
      <c r="C36" s="74"/>
      <c r="D36" s="90"/>
      <c r="E36" s="90"/>
      <c r="F36" s="90"/>
      <c r="G36" s="169"/>
      <c r="H36" s="239" t="s">
        <v>250</v>
      </c>
      <c r="I36" s="240">
        <f>150000*6</f>
        <v>900000</v>
      </c>
      <c r="L36" s="72"/>
    </row>
    <row r="37" spans="1:12" ht="20.100000000000001" customHeight="1" x14ac:dyDescent="0.15">
      <c r="A37" s="73"/>
      <c r="B37" s="101"/>
      <c r="C37" s="74"/>
      <c r="D37" s="90"/>
      <c r="E37" s="90"/>
      <c r="F37" s="90"/>
      <c r="G37" s="169"/>
      <c r="H37" s="239" t="s">
        <v>253</v>
      </c>
      <c r="I37" s="240">
        <f>241673</f>
        <v>241673</v>
      </c>
      <c r="J37" s="44"/>
      <c r="L37" s="72"/>
    </row>
    <row r="38" spans="1:12" ht="20.100000000000001" customHeight="1" x14ac:dyDescent="0.15">
      <c r="A38" s="220" t="s">
        <v>19</v>
      </c>
      <c r="B38" s="221"/>
      <c r="C38" s="219"/>
      <c r="D38" s="85">
        <v>24202827</v>
      </c>
      <c r="E38" s="85">
        <f>E39</f>
        <v>24202827</v>
      </c>
      <c r="F38" s="85">
        <f>E38-D38</f>
        <v>0</v>
      </c>
      <c r="G38" s="171">
        <f>F38/E38*100</f>
        <v>0</v>
      </c>
      <c r="H38" s="303" t="s">
        <v>156</v>
      </c>
      <c r="I38" s="237"/>
      <c r="J38" s="97"/>
      <c r="L38" s="72"/>
    </row>
    <row r="39" spans="1:12" ht="20.100000000000001" customHeight="1" x14ac:dyDescent="0.15">
      <c r="A39" s="73"/>
      <c r="B39" s="218" t="s">
        <v>20</v>
      </c>
      <c r="C39" s="219"/>
      <c r="D39" s="86">
        <v>24202827</v>
      </c>
      <c r="E39" s="86">
        <f>E40</f>
        <v>24202827</v>
      </c>
      <c r="F39" s="87">
        <f t="shared" si="0"/>
        <v>0</v>
      </c>
      <c r="G39" s="165">
        <f>F39/E39*100</f>
        <v>0</v>
      </c>
      <c r="H39" s="256" t="s">
        <v>105</v>
      </c>
      <c r="I39" s="237"/>
      <c r="J39" s="97"/>
      <c r="L39" s="72"/>
    </row>
    <row r="40" spans="1:12" ht="20.100000000000001" customHeight="1" x14ac:dyDescent="0.15">
      <c r="A40" s="73"/>
      <c r="B40" s="107"/>
      <c r="C40" s="30" t="s">
        <v>105</v>
      </c>
      <c r="D40" s="92">
        <v>24202827</v>
      </c>
      <c r="E40" s="92">
        <f>I44+I42+I41+I43</f>
        <v>24202827</v>
      </c>
      <c r="F40" s="90">
        <f t="shared" si="0"/>
        <v>0</v>
      </c>
      <c r="G40" s="170">
        <f>F40/E40*100</f>
        <v>0</v>
      </c>
      <c r="H40" s="304" t="s">
        <v>105</v>
      </c>
      <c r="I40" s="240"/>
      <c r="J40" s="97"/>
    </row>
    <row r="41" spans="1:12" ht="20.100000000000001" customHeight="1" x14ac:dyDescent="0.15">
      <c r="A41" s="73"/>
      <c r="B41" s="101"/>
      <c r="C41" s="101"/>
      <c r="D41" s="90"/>
      <c r="E41" s="90"/>
      <c r="F41" s="90"/>
      <c r="G41" s="166"/>
      <c r="H41" s="305" t="s">
        <v>187</v>
      </c>
      <c r="I41" s="240">
        <v>22802901</v>
      </c>
    </row>
    <row r="42" spans="1:12" ht="20.100000000000001" customHeight="1" x14ac:dyDescent="0.15">
      <c r="A42" s="73"/>
      <c r="B42" s="101"/>
      <c r="C42" s="101"/>
      <c r="D42" s="90"/>
      <c r="E42" s="90"/>
      <c r="F42" s="90"/>
      <c r="G42" s="169"/>
      <c r="H42" s="306" t="s">
        <v>190</v>
      </c>
      <c r="I42" s="240">
        <f>476051*1</f>
        <v>476051</v>
      </c>
    </row>
    <row r="43" spans="1:12" ht="20.100000000000001" customHeight="1" x14ac:dyDescent="0.15">
      <c r="A43" s="73"/>
      <c r="B43" s="101"/>
      <c r="C43" s="101"/>
      <c r="D43" s="90"/>
      <c r="E43" s="90"/>
      <c r="F43" s="90"/>
      <c r="G43" s="169"/>
      <c r="H43" s="306" t="s">
        <v>189</v>
      </c>
      <c r="I43" s="240">
        <f>286796*1</f>
        <v>286796</v>
      </c>
    </row>
    <row r="44" spans="1:12" ht="20.100000000000001" customHeight="1" x14ac:dyDescent="0.15">
      <c r="A44" s="108"/>
      <c r="B44" s="109"/>
      <c r="C44" s="110"/>
      <c r="D44" s="93"/>
      <c r="E44" s="93"/>
      <c r="F44" s="93"/>
      <c r="G44" s="172"/>
      <c r="H44" s="307" t="s">
        <v>188</v>
      </c>
      <c r="I44" s="241">
        <f>637079*1</f>
        <v>637079</v>
      </c>
    </row>
    <row r="45" spans="1:12" x14ac:dyDescent="0.15">
      <c r="A45" s="95"/>
      <c r="B45" s="95"/>
      <c r="C45" s="95"/>
      <c r="D45" s="111"/>
      <c r="E45" s="94"/>
      <c r="F45" s="94"/>
      <c r="G45" s="162"/>
    </row>
    <row r="46" spans="1:12" x14ac:dyDescent="0.15">
      <c r="A46" s="95"/>
      <c r="B46" s="95"/>
      <c r="C46" s="95"/>
      <c r="D46" s="94"/>
      <c r="E46" s="94"/>
      <c r="F46" s="94"/>
      <c r="G46" s="162"/>
    </row>
    <row r="47" spans="1:12" x14ac:dyDescent="0.15">
      <c r="A47" s="95"/>
      <c r="B47" s="95"/>
      <c r="C47" s="95"/>
      <c r="D47" s="94"/>
      <c r="E47" s="94"/>
      <c r="F47" s="94"/>
      <c r="G47" s="162"/>
    </row>
  </sheetData>
  <customSheetViews>
    <customSheetView guid="{29BE6789-D580-482F-AE13-9E62D887C1AB}" showPageBreaks="1" printArea="1" view="pageBreakPreview" topLeftCell="B19">
      <selection activeCell="H143" sqref="H143"/>
      <rowBreaks count="1" manualBreakCount="1">
        <brk id="26" max="8" man="1"/>
      </rowBreaks>
      <pageMargins left="0.94488188976377963" right="0.74803149606299213" top="0.98425196850393704" bottom="0.98425196850393704" header="0.51181102362204722" footer="0.51181102362204722"/>
      <printOptions horizontalCentered="1"/>
      <pageSetup paperSize="9" scale="80" firstPageNumber="3" orientation="landscape" useFirstPageNumber="1" r:id="rId1"/>
      <headerFooter alignWithMargins="0">
        <oddFooter xml:space="preserve">&amp;R참좋은 기억학교(2022.02.14)
</oddFooter>
      </headerFooter>
    </customSheetView>
  </customSheetViews>
  <mergeCells count="18">
    <mergeCell ref="A11:C11"/>
    <mergeCell ref="A1:H1"/>
    <mergeCell ref="A3:C3"/>
    <mergeCell ref="H3:I3"/>
    <mergeCell ref="A4:C4"/>
    <mergeCell ref="D4:D5"/>
    <mergeCell ref="E4:E5"/>
    <mergeCell ref="F4:G4"/>
    <mergeCell ref="H4:I5"/>
    <mergeCell ref="A6:C6"/>
    <mergeCell ref="A7:C7"/>
    <mergeCell ref="A8:A10"/>
    <mergeCell ref="B9:B10"/>
    <mergeCell ref="A21:C21"/>
    <mergeCell ref="B22:C22"/>
    <mergeCell ref="A26:C26"/>
    <mergeCell ref="B27:C27"/>
    <mergeCell ref="A30:C30"/>
  </mergeCells>
  <phoneticPr fontId="2" type="noConversion"/>
  <printOptions horizontalCentered="1"/>
  <pageMargins left="0.94488188976377963" right="0.74803149606299213" top="0.98425196850393704" bottom="0.98425196850393704" header="0.51181102362204722" footer="0.51181102362204722"/>
  <pageSetup paperSize="9" scale="82" firstPageNumber="3" fitToHeight="0" orientation="landscape" useFirstPageNumber="1" r:id="rId2"/>
  <headerFooter alignWithMargins="0">
    <oddFooter xml:space="preserve">&amp;R참좋은기억학교(2024. 12. 06.)
</oddFooter>
  </headerFooter>
  <rowBreaks count="1" manualBreakCount="1">
    <brk id="25" max="8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BN167"/>
  <sheetViews>
    <sheetView view="pageBreakPreview" zoomScaleNormal="100" zoomScaleSheetLayoutView="100" workbookViewId="0">
      <selection sqref="A1:H1"/>
    </sheetView>
  </sheetViews>
  <sheetFormatPr defaultRowHeight="13.5" x14ac:dyDescent="0.15"/>
  <cols>
    <col min="1" max="1" width="9.44140625" style="29" customWidth="1"/>
    <col min="2" max="2" width="10.21875" style="29" customWidth="1"/>
    <col min="3" max="3" width="12.6640625" style="29" customWidth="1"/>
    <col min="4" max="4" width="12.6640625" style="44" customWidth="1"/>
    <col min="5" max="5" width="13" style="68" customWidth="1"/>
    <col min="6" max="6" width="11.77734375" style="233" customWidth="1"/>
    <col min="7" max="7" width="10.109375" style="234" customWidth="1"/>
    <col min="8" max="8" width="40.33203125" style="228" customWidth="1"/>
    <col min="9" max="9" width="14" style="97" customWidth="1"/>
    <col min="10" max="10" width="14.44140625" style="29" bestFit="1" customWidth="1"/>
    <col min="11" max="11" width="20.77734375" style="29" bestFit="1" customWidth="1"/>
    <col min="12" max="12" width="15" style="55" bestFit="1" customWidth="1"/>
    <col min="13" max="13" width="15.5546875" style="29" bestFit="1" customWidth="1"/>
    <col min="14" max="16384" width="8.88671875" style="29"/>
  </cols>
  <sheetData>
    <row r="1" spans="1:13" s="34" customFormat="1" ht="20.100000000000001" customHeight="1" x14ac:dyDescent="0.15">
      <c r="A1" s="335" t="s">
        <v>283</v>
      </c>
      <c r="B1" s="335"/>
      <c r="C1" s="335"/>
      <c r="D1" s="335"/>
      <c r="E1" s="335"/>
      <c r="F1" s="335"/>
      <c r="G1" s="335"/>
      <c r="H1" s="335"/>
      <c r="I1" s="97"/>
      <c r="L1" s="62"/>
    </row>
    <row r="2" spans="1:13" s="34" customFormat="1" ht="20.100000000000001" customHeight="1" x14ac:dyDescent="0.15">
      <c r="A2" s="59"/>
      <c r="B2" s="59"/>
      <c r="C2" s="60"/>
      <c r="D2" s="61"/>
      <c r="E2" s="67"/>
      <c r="F2" s="226"/>
      <c r="G2" s="227"/>
      <c r="H2" s="228"/>
      <c r="I2" s="97"/>
      <c r="L2" s="62"/>
    </row>
    <row r="3" spans="1:13" s="95" customFormat="1" ht="20.100000000000001" customHeight="1" x14ac:dyDescent="0.15">
      <c r="A3" s="336" t="s">
        <v>150</v>
      </c>
      <c r="B3" s="336"/>
      <c r="C3" s="336"/>
      <c r="D3" s="94"/>
      <c r="E3" s="112"/>
      <c r="F3" s="229"/>
      <c r="G3" s="230"/>
      <c r="H3" s="338" t="s">
        <v>12</v>
      </c>
      <c r="I3" s="339"/>
      <c r="L3" s="96"/>
    </row>
    <row r="4" spans="1:13" s="95" customFormat="1" ht="20.100000000000001" customHeight="1" x14ac:dyDescent="0.15">
      <c r="A4" s="322" t="s">
        <v>13</v>
      </c>
      <c r="B4" s="344"/>
      <c r="C4" s="344"/>
      <c r="D4" s="342" t="str">
        <f>예산총괄!C4</f>
        <v>2024년 2차 추경
(A)</v>
      </c>
      <c r="E4" s="342" t="str">
        <f>예산총괄!D4</f>
        <v>2024년 결산 추경
(B)</v>
      </c>
      <c r="F4" s="353" t="s">
        <v>4</v>
      </c>
      <c r="G4" s="353"/>
      <c r="H4" s="345" t="s">
        <v>14</v>
      </c>
      <c r="I4" s="346"/>
      <c r="L4" s="96"/>
    </row>
    <row r="5" spans="1:13" s="95" customFormat="1" ht="22.5" customHeight="1" thickBot="1" x14ac:dyDescent="0.2">
      <c r="A5" s="7" t="s">
        <v>15</v>
      </c>
      <c r="B5" s="98" t="s">
        <v>16</v>
      </c>
      <c r="C5" s="98" t="s">
        <v>17</v>
      </c>
      <c r="D5" s="356"/>
      <c r="E5" s="356"/>
      <c r="F5" s="231" t="s">
        <v>139</v>
      </c>
      <c r="G5" s="232" t="s">
        <v>18</v>
      </c>
      <c r="H5" s="347"/>
      <c r="I5" s="348"/>
      <c r="J5" s="81"/>
      <c r="K5" s="94"/>
      <c r="L5" s="96"/>
    </row>
    <row r="6" spans="1:13" s="95" customFormat="1" ht="20.100000000000001" customHeight="1" thickTop="1" x14ac:dyDescent="0.15">
      <c r="A6" s="354"/>
      <c r="B6" s="355"/>
      <c r="C6" s="355"/>
      <c r="D6" s="113">
        <v>501299999.85474932</v>
      </c>
      <c r="E6" s="113">
        <f>E7+E89+E104+E155</f>
        <v>533999999.83099884</v>
      </c>
      <c r="F6" s="83">
        <f>E6-D6</f>
        <v>32699999.976249516</v>
      </c>
      <c r="G6" s="153">
        <f>F6/E6*100</f>
        <v>6.1235955031083265</v>
      </c>
      <c r="H6" s="243"/>
      <c r="I6" s="240"/>
      <c r="J6" s="94"/>
      <c r="K6" s="94"/>
      <c r="L6" s="96"/>
    </row>
    <row r="7" spans="1:13" s="95" customFormat="1" ht="20.100000000000001" customHeight="1" x14ac:dyDescent="0.15">
      <c r="A7" s="220" t="s">
        <v>22</v>
      </c>
      <c r="B7" s="132"/>
      <c r="C7" s="219"/>
      <c r="D7" s="114">
        <v>428854656.85474932</v>
      </c>
      <c r="E7" s="114">
        <f>E8+E50+E59</f>
        <v>430433340.83099884</v>
      </c>
      <c r="F7" s="115">
        <f t="shared" ref="F7:F159" si="0">E7-D7</f>
        <v>1578683.976249516</v>
      </c>
      <c r="G7" s="153">
        <f>F7/E7*100</f>
        <v>0.36676619269355232</v>
      </c>
      <c r="H7" s="244" t="s">
        <v>22</v>
      </c>
      <c r="I7" s="237"/>
      <c r="J7" s="94"/>
      <c r="K7" s="94"/>
      <c r="L7" s="96"/>
      <c r="M7" s="133"/>
    </row>
    <row r="8" spans="1:13" s="95" customFormat="1" ht="20.25" customHeight="1" x14ac:dyDescent="0.15">
      <c r="A8" s="73"/>
      <c r="B8" s="218" t="s">
        <v>23</v>
      </c>
      <c r="C8" s="219"/>
      <c r="D8" s="116">
        <v>376599956.85474932</v>
      </c>
      <c r="E8" s="116">
        <f>E9+E28+E37+E39+E45</f>
        <v>373407960.83099884</v>
      </c>
      <c r="F8" s="117">
        <f t="shared" si="0"/>
        <v>-3191996.023750484</v>
      </c>
      <c r="G8" s="154">
        <f>F8/E8*100</f>
        <v>-0.8548280590073315</v>
      </c>
      <c r="H8" s="245" t="s">
        <v>23</v>
      </c>
      <c r="I8" s="237"/>
      <c r="K8" s="94"/>
      <c r="L8" s="96"/>
    </row>
    <row r="9" spans="1:13" s="95" customFormat="1" ht="20.100000000000001" customHeight="1" x14ac:dyDescent="0.15">
      <c r="A9" s="73"/>
      <c r="B9" s="74"/>
      <c r="C9" s="30" t="s">
        <v>36</v>
      </c>
      <c r="D9" s="118">
        <v>275209100</v>
      </c>
      <c r="E9" s="118">
        <f>I9</f>
        <v>273523680</v>
      </c>
      <c r="F9" s="123">
        <f>E9-D9</f>
        <v>-1685420</v>
      </c>
      <c r="G9" s="174">
        <f>F9/E9*100</f>
        <v>-0.61618796588288083</v>
      </c>
      <c r="H9" s="246" t="s">
        <v>37</v>
      </c>
      <c r="I9" s="247">
        <f>SUM(I10:I27)</f>
        <v>273523680</v>
      </c>
      <c r="J9" s="96"/>
      <c r="K9" s="94"/>
      <c r="L9" s="96"/>
    </row>
    <row r="10" spans="1:13" s="95" customFormat="1" ht="20.100000000000001" customHeight="1" x14ac:dyDescent="0.15">
      <c r="A10" s="73"/>
      <c r="B10" s="74"/>
      <c r="C10" s="74"/>
      <c r="D10" s="119"/>
      <c r="E10" s="119"/>
      <c r="F10" s="120"/>
      <c r="G10" s="175"/>
      <c r="H10" s="239" t="s">
        <v>166</v>
      </c>
      <c r="I10" s="240">
        <f>3747000*1</f>
        <v>3747000</v>
      </c>
      <c r="J10" s="94"/>
      <c r="K10" s="94"/>
      <c r="L10" s="96"/>
    </row>
    <row r="11" spans="1:13" s="95" customFormat="1" ht="20.100000000000001" customHeight="1" x14ac:dyDescent="0.15">
      <c r="A11" s="73"/>
      <c r="B11" s="74"/>
      <c r="C11" s="74"/>
      <c r="D11" s="119"/>
      <c r="E11" s="119"/>
      <c r="F11" s="120"/>
      <c r="G11" s="175"/>
      <c r="H11" s="239" t="s">
        <v>167</v>
      </c>
      <c r="I11" s="240">
        <f>4203800*11</f>
        <v>46241800</v>
      </c>
      <c r="J11" s="81"/>
      <c r="L11" s="96"/>
    </row>
    <row r="12" spans="1:13" s="95" customFormat="1" ht="20.100000000000001" customHeight="1" x14ac:dyDescent="0.15">
      <c r="A12" s="73"/>
      <c r="B12" s="74"/>
      <c r="C12" s="74"/>
      <c r="D12" s="119"/>
      <c r="E12" s="119"/>
      <c r="F12" s="120"/>
      <c r="G12" s="175"/>
      <c r="H12" s="239" t="s">
        <v>168</v>
      </c>
      <c r="I12" s="240">
        <f>2849300*9</f>
        <v>25643700</v>
      </c>
      <c r="J12" s="81"/>
      <c r="L12" s="96"/>
    </row>
    <row r="13" spans="1:13" s="95" customFormat="1" ht="20.100000000000001" customHeight="1" x14ac:dyDescent="0.15">
      <c r="A13" s="73"/>
      <c r="B13" s="74"/>
      <c r="C13" s="74"/>
      <c r="D13" s="119"/>
      <c r="E13" s="119"/>
      <c r="F13" s="120"/>
      <c r="G13" s="175"/>
      <c r="H13" s="239" t="s">
        <v>169</v>
      </c>
      <c r="I13" s="240">
        <f>2943000*3</f>
        <v>8829000</v>
      </c>
      <c r="J13" s="81"/>
      <c r="L13" s="96"/>
    </row>
    <row r="14" spans="1:13" s="95" customFormat="1" ht="20.100000000000001" customHeight="1" x14ac:dyDescent="0.15">
      <c r="A14" s="73"/>
      <c r="B14" s="74"/>
      <c r="C14" s="74"/>
      <c r="D14" s="119"/>
      <c r="E14" s="119"/>
      <c r="F14" s="120"/>
      <c r="G14" s="175"/>
      <c r="H14" s="239" t="s">
        <v>170</v>
      </c>
      <c r="I14" s="240">
        <f>2219800*2</f>
        <v>4439600</v>
      </c>
      <c r="J14" s="94"/>
      <c r="L14" s="96"/>
    </row>
    <row r="15" spans="1:13" s="95" customFormat="1" ht="20.100000000000001" customHeight="1" x14ac:dyDescent="0.15">
      <c r="A15" s="73"/>
      <c r="B15" s="74"/>
      <c r="C15" s="74"/>
      <c r="D15" s="119"/>
      <c r="E15" s="119"/>
      <c r="F15" s="120"/>
      <c r="G15" s="175"/>
      <c r="H15" s="239" t="s">
        <v>171</v>
      </c>
      <c r="I15" s="240">
        <f>2262000*10</f>
        <v>22620000</v>
      </c>
      <c r="J15" s="81"/>
      <c r="L15" s="96"/>
    </row>
    <row r="16" spans="1:13" s="95" customFormat="1" ht="20.100000000000001" customHeight="1" x14ac:dyDescent="0.15">
      <c r="A16" s="73"/>
      <c r="B16" s="74"/>
      <c r="C16" s="74"/>
      <c r="D16" s="119"/>
      <c r="E16" s="119"/>
      <c r="F16" s="120"/>
      <c r="G16" s="175"/>
      <c r="H16" s="239" t="s">
        <v>211</v>
      </c>
      <c r="I16" s="240">
        <f>2470200*10</f>
        <v>24702000</v>
      </c>
      <c r="J16" s="94"/>
      <c r="L16" s="96"/>
    </row>
    <row r="17" spans="1:12" s="95" customFormat="1" ht="20.100000000000001" customHeight="1" x14ac:dyDescent="0.15">
      <c r="A17" s="73"/>
      <c r="B17" s="74"/>
      <c r="C17" s="74"/>
      <c r="D17" s="119"/>
      <c r="E17" s="119"/>
      <c r="F17" s="120"/>
      <c r="G17" s="175"/>
      <c r="H17" s="239" t="s">
        <v>209</v>
      </c>
      <c r="I17" s="240">
        <f>370200*2</f>
        <v>740400</v>
      </c>
      <c r="J17" s="94"/>
      <c r="L17" s="96"/>
    </row>
    <row r="18" spans="1:12" s="95" customFormat="1" ht="20.100000000000001" customHeight="1" x14ac:dyDescent="0.15">
      <c r="A18" s="73"/>
      <c r="B18" s="74"/>
      <c r="C18" s="74"/>
      <c r="D18" s="119"/>
      <c r="E18" s="119"/>
      <c r="F18" s="120"/>
      <c r="G18" s="175"/>
      <c r="H18" s="239" t="s">
        <v>172</v>
      </c>
      <c r="I18" s="240">
        <f>2659800*8</f>
        <v>21278400</v>
      </c>
      <c r="J18" s="94"/>
      <c r="L18" s="96"/>
    </row>
    <row r="19" spans="1:12" s="95" customFormat="1" ht="20.100000000000001" customHeight="1" x14ac:dyDescent="0.15">
      <c r="A19" s="73"/>
      <c r="B19" s="74"/>
      <c r="C19" s="74"/>
      <c r="D19" s="119"/>
      <c r="E19" s="119"/>
      <c r="F19" s="120"/>
      <c r="G19" s="175"/>
      <c r="H19" s="239" t="s">
        <v>173</v>
      </c>
      <c r="I19" s="240">
        <f>2740100*4</f>
        <v>10960400</v>
      </c>
      <c r="J19" s="81"/>
      <c r="L19" s="96"/>
    </row>
    <row r="20" spans="1:12" s="95" customFormat="1" ht="20.100000000000001" customHeight="1" x14ac:dyDescent="0.15">
      <c r="A20" s="73"/>
      <c r="B20" s="74"/>
      <c r="C20" s="74"/>
      <c r="D20" s="119"/>
      <c r="E20" s="119"/>
      <c r="F20" s="120"/>
      <c r="G20" s="175"/>
      <c r="H20" s="239" t="s">
        <v>174</v>
      </c>
      <c r="I20" s="240">
        <f>2470200*8</f>
        <v>19761600</v>
      </c>
      <c r="J20" s="94"/>
      <c r="L20" s="96"/>
    </row>
    <row r="21" spans="1:12" s="95" customFormat="1" ht="20.100000000000001" customHeight="1" x14ac:dyDescent="0.15">
      <c r="A21" s="73"/>
      <c r="B21" s="74"/>
      <c r="C21" s="74"/>
      <c r="D21" s="119"/>
      <c r="E21" s="119"/>
      <c r="F21" s="120"/>
      <c r="G21" s="176"/>
      <c r="H21" s="239" t="s">
        <v>175</v>
      </c>
      <c r="I21" s="240">
        <f>2567900*4</f>
        <v>10271600</v>
      </c>
      <c r="J21" s="81"/>
      <c r="L21" s="96"/>
    </row>
    <row r="22" spans="1:12" s="95" customFormat="1" ht="20.100000000000001" customHeight="1" x14ac:dyDescent="0.15">
      <c r="A22" s="73"/>
      <c r="B22" s="74"/>
      <c r="C22" s="74"/>
      <c r="D22" s="119"/>
      <c r="E22" s="119"/>
      <c r="F22" s="120"/>
      <c r="G22" s="176"/>
      <c r="H22" s="239" t="s">
        <v>220</v>
      </c>
      <c r="I22" s="240">
        <v>784780</v>
      </c>
      <c r="J22" s="81"/>
      <c r="L22" s="96"/>
    </row>
    <row r="23" spans="1:12" s="95" customFormat="1" ht="20.100000000000001" customHeight="1" x14ac:dyDescent="0.15">
      <c r="A23" s="73"/>
      <c r="B23" s="74"/>
      <c r="C23" s="74"/>
      <c r="D23" s="119"/>
      <c r="E23" s="119"/>
      <c r="F23" s="120"/>
      <c r="G23" s="176"/>
      <c r="H23" s="239" t="s">
        <v>221</v>
      </c>
      <c r="I23" s="240">
        <f>2470200*1*1</f>
        <v>2470200</v>
      </c>
      <c r="J23" s="81"/>
      <c r="L23" s="96"/>
    </row>
    <row r="24" spans="1:12" s="95" customFormat="1" ht="20.100000000000001" customHeight="1" x14ac:dyDescent="0.15">
      <c r="A24" s="73"/>
      <c r="B24" s="74"/>
      <c r="C24" s="74"/>
      <c r="D24" s="119"/>
      <c r="E24" s="119"/>
      <c r="F24" s="120"/>
      <c r="G24" s="175"/>
      <c r="H24" s="239" t="s">
        <v>176</v>
      </c>
      <c r="I24" s="240">
        <f>2190200*8</f>
        <v>17521600</v>
      </c>
      <c r="J24" s="94"/>
      <c r="L24" s="96"/>
    </row>
    <row r="25" spans="1:12" s="95" customFormat="1" ht="20.100000000000001" customHeight="1" x14ac:dyDescent="0.15">
      <c r="A25" s="73"/>
      <c r="B25" s="74"/>
      <c r="C25" s="74"/>
      <c r="D25" s="119"/>
      <c r="E25" s="119"/>
      <c r="F25" s="120"/>
      <c r="G25" s="175"/>
      <c r="H25" s="239" t="s">
        <v>195</v>
      </c>
      <c r="I25" s="240">
        <f>2232900*4</f>
        <v>8931600</v>
      </c>
      <c r="J25" s="81"/>
      <c r="L25" s="96"/>
    </row>
    <row r="26" spans="1:12" s="95" customFormat="1" ht="20.100000000000001" customHeight="1" x14ac:dyDescent="0.15">
      <c r="A26" s="73"/>
      <c r="B26" s="74"/>
      <c r="C26" s="74"/>
      <c r="D26" s="119"/>
      <c r="E26" s="119"/>
      <c r="F26" s="120"/>
      <c r="G26" s="175"/>
      <c r="H26" s="239" t="s">
        <v>177</v>
      </c>
      <c r="I26" s="240">
        <f>2115000*12*1</f>
        <v>25380000</v>
      </c>
      <c r="J26" s="94"/>
      <c r="L26" s="96"/>
    </row>
    <row r="27" spans="1:12" s="95" customFormat="1" ht="20.100000000000001" customHeight="1" x14ac:dyDescent="0.15">
      <c r="A27" s="108"/>
      <c r="B27" s="109"/>
      <c r="C27" s="109"/>
      <c r="D27" s="121"/>
      <c r="E27" s="121"/>
      <c r="F27" s="122"/>
      <c r="G27" s="177"/>
      <c r="H27" s="248" t="s">
        <v>178</v>
      </c>
      <c r="I27" s="241">
        <f>1600000*12*1</f>
        <v>19200000</v>
      </c>
      <c r="J27" s="81"/>
      <c r="L27" s="96"/>
    </row>
    <row r="28" spans="1:12" s="95" customFormat="1" ht="20.100000000000001" customHeight="1" x14ac:dyDescent="0.15">
      <c r="A28" s="73"/>
      <c r="B28" s="74"/>
      <c r="C28" s="74" t="s">
        <v>38</v>
      </c>
      <c r="D28" s="119">
        <v>39100340</v>
      </c>
      <c r="E28" s="119">
        <f>I30+I32+I34+I36</f>
        <v>38250340</v>
      </c>
      <c r="F28" s="128">
        <f>E28-D28</f>
        <v>-850000</v>
      </c>
      <c r="G28" s="178">
        <f>F28/E28*100</f>
        <v>-2.2222024693113842</v>
      </c>
      <c r="H28" s="239" t="s">
        <v>38</v>
      </c>
      <c r="I28" s="240"/>
      <c r="J28" s="81"/>
      <c r="K28" s="94"/>
      <c r="L28" s="96"/>
    </row>
    <row r="29" spans="1:12" s="95" customFormat="1" ht="20.100000000000001" customHeight="1" x14ac:dyDescent="0.15">
      <c r="A29" s="104"/>
      <c r="B29" s="74"/>
      <c r="C29" s="74"/>
      <c r="D29" s="119"/>
      <c r="E29" s="119"/>
      <c r="F29" s="120"/>
      <c r="G29" s="175"/>
      <c r="H29" s="239" t="s">
        <v>179</v>
      </c>
      <c r="I29" s="240"/>
      <c r="J29" s="94"/>
      <c r="L29" s="96"/>
    </row>
    <row r="30" spans="1:12" s="95" customFormat="1" ht="20.100000000000001" customHeight="1" x14ac:dyDescent="0.15">
      <c r="A30" s="73"/>
      <c r="B30" s="74"/>
      <c r="C30" s="74"/>
      <c r="D30" s="119"/>
      <c r="E30" s="119"/>
      <c r="F30" s="120"/>
      <c r="G30" s="175"/>
      <c r="H30" s="249" t="s">
        <v>180</v>
      </c>
      <c r="I30" s="240">
        <f>13584720*2</f>
        <v>27169440</v>
      </c>
      <c r="J30" s="81"/>
      <c r="L30" s="96"/>
    </row>
    <row r="31" spans="1:12" s="95" customFormat="1" ht="20.100000000000001" customHeight="1" x14ac:dyDescent="0.15">
      <c r="A31" s="104"/>
      <c r="B31" s="74"/>
      <c r="C31" s="74"/>
      <c r="D31" s="119"/>
      <c r="E31" s="119"/>
      <c r="F31" s="120"/>
      <c r="G31" s="175"/>
      <c r="H31" s="239" t="s">
        <v>182</v>
      </c>
      <c r="I31" s="240"/>
      <c r="J31" s="133"/>
      <c r="L31" s="96"/>
    </row>
    <row r="32" spans="1:12" s="95" customFormat="1" ht="19.5" customHeight="1" x14ac:dyDescent="0.15">
      <c r="A32" s="73"/>
      <c r="B32" s="74"/>
      <c r="C32" s="74"/>
      <c r="D32" s="119"/>
      <c r="E32" s="119"/>
      <c r="F32" s="120"/>
      <c r="G32" s="175"/>
      <c r="H32" s="239" t="s">
        <v>181</v>
      </c>
      <c r="I32" s="240">
        <f>840000*4</f>
        <v>3360000</v>
      </c>
      <c r="K32" s="94"/>
      <c r="L32" s="96"/>
    </row>
    <row r="33" spans="1:12" s="95" customFormat="1" ht="20.100000000000001" customHeight="1" x14ac:dyDescent="0.15">
      <c r="A33" s="73"/>
      <c r="B33" s="74"/>
      <c r="C33" s="74"/>
      <c r="D33" s="119"/>
      <c r="E33" s="119"/>
      <c r="F33" s="120"/>
      <c r="G33" s="179"/>
      <c r="H33" s="239" t="s">
        <v>208</v>
      </c>
      <c r="I33" s="240"/>
      <c r="L33" s="96"/>
    </row>
    <row r="34" spans="1:12" s="95" customFormat="1" ht="20.100000000000001" customHeight="1" x14ac:dyDescent="0.15">
      <c r="A34" s="73"/>
      <c r="B34" s="74"/>
      <c r="C34" s="74"/>
      <c r="D34" s="119"/>
      <c r="E34" s="119"/>
      <c r="F34" s="120"/>
      <c r="G34" s="175"/>
      <c r="H34" s="239" t="s">
        <v>204</v>
      </c>
      <c r="I34" s="240">
        <f>7370900</f>
        <v>7370900</v>
      </c>
      <c r="J34" s="81"/>
      <c r="L34" s="96"/>
    </row>
    <row r="35" spans="1:12" s="95" customFormat="1" ht="20.100000000000001" customHeight="1" x14ac:dyDescent="0.15">
      <c r="A35" s="73"/>
      <c r="B35" s="74"/>
      <c r="C35" s="74"/>
      <c r="D35" s="119"/>
      <c r="E35" s="119"/>
      <c r="F35" s="120"/>
      <c r="G35" s="175"/>
      <c r="H35" s="239" t="s">
        <v>227</v>
      </c>
      <c r="I35" s="240"/>
      <c r="J35" s="96"/>
      <c r="L35" s="96"/>
    </row>
    <row r="36" spans="1:12" s="95" customFormat="1" ht="20.100000000000001" customHeight="1" x14ac:dyDescent="0.15">
      <c r="A36" s="73"/>
      <c r="B36" s="74"/>
      <c r="C36" s="74"/>
      <c r="D36" s="119"/>
      <c r="E36" s="119"/>
      <c r="F36" s="120"/>
      <c r="G36" s="175"/>
      <c r="H36" s="239" t="s">
        <v>219</v>
      </c>
      <c r="I36" s="240">
        <f>50000*3.5*2</f>
        <v>350000</v>
      </c>
      <c r="J36" s="96"/>
      <c r="L36" s="96"/>
    </row>
    <row r="37" spans="1:12" s="95" customFormat="1" ht="20.100000000000001" customHeight="1" x14ac:dyDescent="0.15">
      <c r="A37" s="73"/>
      <c r="B37" s="74"/>
      <c r="C37" s="134" t="s">
        <v>66</v>
      </c>
      <c r="D37" s="118">
        <v>27232406.833333332</v>
      </c>
      <c r="E37" s="118">
        <f>I38</f>
        <v>27232406.833333332</v>
      </c>
      <c r="F37" s="123">
        <f>E37-D37</f>
        <v>0</v>
      </c>
      <c r="G37" s="174">
        <f>F37/E37*100</f>
        <v>0</v>
      </c>
      <c r="H37" s="250" t="s">
        <v>66</v>
      </c>
      <c r="I37" s="238"/>
      <c r="L37" s="96"/>
    </row>
    <row r="38" spans="1:12" s="95" customFormat="1" ht="20.100000000000001" customHeight="1" x14ac:dyDescent="0.15">
      <c r="A38" s="73"/>
      <c r="B38" s="74"/>
      <c r="C38" s="74"/>
      <c r="D38" s="119"/>
      <c r="E38" s="119"/>
      <c r="F38" s="120"/>
      <c r="G38" s="180"/>
      <c r="H38" s="239" t="s">
        <v>210</v>
      </c>
      <c r="I38" s="242">
        <f>326788882/12</f>
        <v>27232406.833333332</v>
      </c>
      <c r="J38" s="81"/>
      <c r="K38" s="81"/>
      <c r="L38" s="96"/>
    </row>
    <row r="39" spans="1:12" s="95" customFormat="1" ht="20.100000000000001" customHeight="1" x14ac:dyDescent="0.15">
      <c r="A39" s="73"/>
      <c r="B39" s="74"/>
      <c r="C39" s="30" t="s">
        <v>39</v>
      </c>
      <c r="D39" s="118">
        <v>32348110.021415997</v>
      </c>
      <c r="E39" s="118">
        <f>SUM(I40:I44)</f>
        <v>32081533.997665502</v>
      </c>
      <c r="F39" s="123">
        <f>E39-D39</f>
        <v>-266576.02375049517</v>
      </c>
      <c r="G39" s="174">
        <f>F39/E39*100</f>
        <v>-0.83093290916167928</v>
      </c>
      <c r="H39" s="250" t="s">
        <v>40</v>
      </c>
      <c r="I39" s="240"/>
      <c r="J39" s="81"/>
      <c r="K39" s="81"/>
      <c r="L39" s="96"/>
    </row>
    <row r="40" spans="1:12" s="95" customFormat="1" ht="20.100000000000001" customHeight="1" x14ac:dyDescent="0.15">
      <c r="A40" s="73"/>
      <c r="B40" s="74"/>
      <c r="C40" s="74"/>
      <c r="D40" s="119"/>
      <c r="E40" s="119"/>
      <c r="F40" s="120"/>
      <c r="G40" s="175"/>
      <c r="H40" s="305" t="s">
        <v>222</v>
      </c>
      <c r="I40" s="240">
        <f>(E9+E28+E55)*4.5%</f>
        <v>14191830.9</v>
      </c>
      <c r="J40" s="94"/>
      <c r="K40" s="81"/>
      <c r="L40" s="96"/>
    </row>
    <row r="41" spans="1:12" s="95" customFormat="1" ht="20.100000000000001" customHeight="1" x14ac:dyDescent="0.15">
      <c r="A41" s="73"/>
      <c r="B41" s="74"/>
      <c r="C41" s="101"/>
      <c r="D41" s="119"/>
      <c r="E41" s="119"/>
      <c r="F41" s="120"/>
      <c r="G41" s="175"/>
      <c r="H41" s="249" t="s">
        <v>223</v>
      </c>
      <c r="I41" s="240">
        <f>(E9+E28+E55)*3.545%</f>
        <v>11180009.009000001</v>
      </c>
      <c r="J41" s="52"/>
      <c r="K41" s="81"/>
      <c r="L41" s="96"/>
    </row>
    <row r="42" spans="1:12" s="95" customFormat="1" ht="20.100000000000001" customHeight="1" x14ac:dyDescent="0.15">
      <c r="A42" s="73"/>
      <c r="B42" s="74"/>
      <c r="C42" s="74"/>
      <c r="D42" s="119"/>
      <c r="E42" s="119"/>
      <c r="F42" s="120"/>
      <c r="G42" s="175"/>
      <c r="H42" s="239" t="s">
        <v>224</v>
      </c>
      <c r="I42" s="240">
        <f>I41*12.95%</f>
        <v>1447811.1666655003</v>
      </c>
      <c r="J42" s="268"/>
      <c r="K42" s="81"/>
      <c r="L42" s="96"/>
    </row>
    <row r="43" spans="1:12" s="95" customFormat="1" ht="20.100000000000001" customHeight="1" x14ac:dyDescent="0.15">
      <c r="A43" s="73"/>
      <c r="B43" s="74"/>
      <c r="C43" s="74"/>
      <c r="D43" s="119"/>
      <c r="E43" s="119"/>
      <c r="F43" s="120"/>
      <c r="G43" s="175"/>
      <c r="H43" s="239" t="s">
        <v>225</v>
      </c>
      <c r="I43" s="240">
        <f>(E9-I10-I11+E28)*1.25%</f>
        <v>3272315.25</v>
      </c>
      <c r="J43" s="96"/>
      <c r="L43" s="96"/>
    </row>
    <row r="44" spans="1:12" s="95" customFormat="1" ht="20.100000000000001" customHeight="1" x14ac:dyDescent="0.15">
      <c r="A44" s="73"/>
      <c r="B44" s="74"/>
      <c r="C44" s="74"/>
      <c r="D44" s="119"/>
      <c r="E44" s="119"/>
      <c r="F44" s="120"/>
      <c r="G44" s="175"/>
      <c r="H44" s="239" t="s">
        <v>226</v>
      </c>
      <c r="I44" s="240">
        <f>(E9-I11-I10+E28)*0.76%</f>
        <v>1989567.672</v>
      </c>
      <c r="L44" s="96"/>
    </row>
    <row r="45" spans="1:12" s="95" customFormat="1" ht="20.100000000000001" customHeight="1" x14ac:dyDescent="0.15">
      <c r="A45" s="73"/>
      <c r="B45" s="74"/>
      <c r="C45" s="30" t="s">
        <v>41</v>
      </c>
      <c r="D45" s="118">
        <v>2710000</v>
      </c>
      <c r="E45" s="118">
        <f>I46+I49+I47+I48</f>
        <v>2320000</v>
      </c>
      <c r="F45" s="123">
        <f>E45-D45</f>
        <v>-390000</v>
      </c>
      <c r="G45" s="174">
        <f>F45/E45*100</f>
        <v>-16.810344827586206</v>
      </c>
      <c r="H45" s="250" t="s">
        <v>41</v>
      </c>
      <c r="I45" s="238"/>
      <c r="L45" s="96"/>
    </row>
    <row r="46" spans="1:12" s="95" customFormat="1" ht="20.100000000000001" customHeight="1" x14ac:dyDescent="0.15">
      <c r="A46" s="73"/>
      <c r="B46" s="74"/>
      <c r="C46" s="74"/>
      <c r="D46" s="119"/>
      <c r="E46" s="119"/>
      <c r="F46" s="120"/>
      <c r="G46" s="175"/>
      <c r="H46" s="239" t="s">
        <v>198</v>
      </c>
      <c r="I46" s="240">
        <f>1850000*1</f>
        <v>1850000</v>
      </c>
      <c r="L46" s="96"/>
    </row>
    <row r="47" spans="1:12" s="95" customFormat="1" ht="20.100000000000001" customHeight="1" x14ac:dyDescent="0.15">
      <c r="A47" s="73"/>
      <c r="B47" s="74"/>
      <c r="C47" s="74"/>
      <c r="D47" s="119"/>
      <c r="E47" s="119"/>
      <c r="F47" s="120"/>
      <c r="G47" s="175"/>
      <c r="H47" s="249" t="s">
        <v>205</v>
      </c>
      <c r="I47" s="240">
        <f>100000*1</f>
        <v>100000</v>
      </c>
      <c r="L47" s="96"/>
    </row>
    <row r="48" spans="1:12" s="95" customFormat="1" ht="20.100000000000001" customHeight="1" x14ac:dyDescent="0.15">
      <c r="A48" s="73"/>
      <c r="B48" s="74"/>
      <c r="C48" s="74"/>
      <c r="D48" s="119"/>
      <c r="E48" s="119"/>
      <c r="F48" s="120"/>
      <c r="G48" s="175"/>
      <c r="H48" s="249" t="s">
        <v>149</v>
      </c>
      <c r="I48" s="240">
        <f>30000*9</f>
        <v>270000</v>
      </c>
      <c r="L48" s="96"/>
    </row>
    <row r="49" spans="1:14" s="95" customFormat="1" ht="19.5" customHeight="1" x14ac:dyDescent="0.15">
      <c r="A49" s="108"/>
      <c r="B49" s="109"/>
      <c r="C49" s="109"/>
      <c r="D49" s="121"/>
      <c r="E49" s="121"/>
      <c r="F49" s="122"/>
      <c r="G49" s="177"/>
      <c r="H49" s="251" t="s">
        <v>228</v>
      </c>
      <c r="I49" s="241">
        <f>50000*2</f>
        <v>100000</v>
      </c>
      <c r="L49" s="96"/>
    </row>
    <row r="50" spans="1:14" s="95" customFormat="1" ht="20.100000000000001" customHeight="1" x14ac:dyDescent="0.15">
      <c r="A50" s="263"/>
      <c r="B50" s="105" t="s">
        <v>42</v>
      </c>
      <c r="C50" s="106"/>
      <c r="D50" s="126">
        <v>6580000</v>
      </c>
      <c r="E50" s="126">
        <f>E51+E57+E55</f>
        <v>5400000</v>
      </c>
      <c r="F50" s="125">
        <f t="shared" ref="F50:F57" si="1">E50-D50</f>
        <v>-1180000</v>
      </c>
      <c r="G50" s="154">
        <f>F50/E50*100</f>
        <v>-21.851851851851851</v>
      </c>
      <c r="H50" s="252" t="s">
        <v>42</v>
      </c>
      <c r="I50" s="242"/>
      <c r="L50" s="96"/>
    </row>
    <row r="51" spans="1:14" s="95" customFormat="1" ht="20.100000000000001" customHeight="1" x14ac:dyDescent="0.15">
      <c r="A51" s="104"/>
      <c r="B51" s="74"/>
      <c r="C51" s="135" t="s">
        <v>43</v>
      </c>
      <c r="D51" s="118">
        <v>1780000</v>
      </c>
      <c r="E51" s="118">
        <f>I54+I52+I53</f>
        <v>1200000</v>
      </c>
      <c r="F51" s="123">
        <f t="shared" si="1"/>
        <v>-580000</v>
      </c>
      <c r="G51" s="155">
        <f>F51/E51*100</f>
        <v>-48.333333333333336</v>
      </c>
      <c r="H51" s="250" t="s">
        <v>43</v>
      </c>
      <c r="I51" s="238"/>
      <c r="L51" s="96"/>
    </row>
    <row r="52" spans="1:14" s="95" customFormat="1" ht="20.100000000000001" customHeight="1" x14ac:dyDescent="0.15">
      <c r="A52" s="104"/>
      <c r="B52" s="74"/>
      <c r="C52" s="152"/>
      <c r="D52" s="119"/>
      <c r="E52" s="119"/>
      <c r="F52" s="128"/>
      <c r="G52" s="155"/>
      <c r="H52" s="239" t="s">
        <v>229</v>
      </c>
      <c r="I52" s="240">
        <f>150000*4</f>
        <v>600000</v>
      </c>
      <c r="L52" s="96"/>
    </row>
    <row r="53" spans="1:14" s="95" customFormat="1" ht="20.100000000000001" customHeight="1" x14ac:dyDescent="0.15">
      <c r="A53" s="104"/>
      <c r="B53" s="74"/>
      <c r="C53" s="152"/>
      <c r="D53" s="119"/>
      <c r="E53" s="119"/>
      <c r="F53" s="128"/>
      <c r="G53" s="155"/>
      <c r="H53" s="239" t="s">
        <v>259</v>
      </c>
      <c r="I53" s="240">
        <f>105000*4</f>
        <v>420000</v>
      </c>
      <c r="L53" s="96"/>
    </row>
    <row r="54" spans="1:14" s="95" customFormat="1" ht="20.100000000000001" customHeight="1" x14ac:dyDescent="0.15">
      <c r="A54" s="104"/>
      <c r="B54" s="74"/>
      <c r="C54" s="100"/>
      <c r="D54" s="126"/>
      <c r="E54" s="126"/>
      <c r="F54" s="125"/>
      <c r="G54" s="154"/>
      <c r="H54" s="252" t="s">
        <v>183</v>
      </c>
      <c r="I54" s="242">
        <f>180000*1</f>
        <v>180000</v>
      </c>
      <c r="L54" s="96"/>
    </row>
    <row r="55" spans="1:14" s="95" customFormat="1" ht="20.100000000000001" customHeight="1" x14ac:dyDescent="0.15">
      <c r="A55" s="104"/>
      <c r="B55" s="74"/>
      <c r="C55" s="74" t="s">
        <v>159</v>
      </c>
      <c r="D55" s="118">
        <v>3600000</v>
      </c>
      <c r="E55" s="118">
        <f>I56</f>
        <v>3600000</v>
      </c>
      <c r="F55" s="123">
        <f t="shared" ref="F55" si="2">E55-D55</f>
        <v>0</v>
      </c>
      <c r="G55" s="155">
        <f>F55/E55*100</f>
        <v>0</v>
      </c>
      <c r="H55" s="239" t="s">
        <v>161</v>
      </c>
      <c r="I55" s="240"/>
      <c r="L55" s="96"/>
    </row>
    <row r="56" spans="1:14" s="95" customFormat="1" ht="20.100000000000001" customHeight="1" x14ac:dyDescent="0.15">
      <c r="A56" s="73"/>
      <c r="B56" s="74"/>
      <c r="C56" s="100"/>
      <c r="D56" s="126"/>
      <c r="E56" s="126"/>
      <c r="F56" s="124"/>
      <c r="G56" s="180"/>
      <c r="H56" s="252" t="s">
        <v>162</v>
      </c>
      <c r="I56" s="242">
        <f>300000*12*1</f>
        <v>3600000</v>
      </c>
      <c r="L56" s="96"/>
    </row>
    <row r="57" spans="1:14" s="95" customFormat="1" ht="20.100000000000001" customHeight="1" x14ac:dyDescent="0.15">
      <c r="A57" s="104"/>
      <c r="B57" s="74"/>
      <c r="C57" s="152" t="s">
        <v>44</v>
      </c>
      <c r="D57" s="119">
        <v>1200000</v>
      </c>
      <c r="E57" s="119">
        <f>I58</f>
        <v>600000</v>
      </c>
      <c r="F57" s="128">
        <f t="shared" si="1"/>
        <v>-600000</v>
      </c>
      <c r="G57" s="155">
        <f>F57/E57*100</f>
        <v>-100</v>
      </c>
      <c r="H57" s="239" t="s">
        <v>44</v>
      </c>
      <c r="I57" s="240"/>
      <c r="L57" s="96"/>
    </row>
    <row r="58" spans="1:14" s="136" customFormat="1" ht="20.100000000000001" customHeight="1" x14ac:dyDescent="0.15">
      <c r="A58" s="73"/>
      <c r="B58" s="74"/>
      <c r="C58" s="100"/>
      <c r="D58" s="126"/>
      <c r="E58" s="126"/>
      <c r="F58" s="125"/>
      <c r="G58" s="182"/>
      <c r="H58" s="252" t="s">
        <v>230</v>
      </c>
      <c r="I58" s="242">
        <f>300000*2</f>
        <v>600000</v>
      </c>
      <c r="J58" s="212"/>
      <c r="K58" s="213"/>
      <c r="L58" s="214"/>
      <c r="M58" s="213"/>
      <c r="N58" s="213"/>
    </row>
    <row r="59" spans="1:14" s="95" customFormat="1" ht="20.100000000000001" customHeight="1" x14ac:dyDescent="0.15">
      <c r="A59" s="104"/>
      <c r="B59" s="218" t="s">
        <v>45</v>
      </c>
      <c r="C59" s="106"/>
      <c r="D59" s="126">
        <v>45674700</v>
      </c>
      <c r="E59" s="126">
        <f>E60+E62+E72+E75+E82+E85</f>
        <v>51625380</v>
      </c>
      <c r="F59" s="125">
        <f t="shared" ref="F59:F60" si="3">E59-D59</f>
        <v>5950680</v>
      </c>
      <c r="G59" s="154">
        <f>F59/E59*100</f>
        <v>11.526656074977074</v>
      </c>
      <c r="H59" s="252" t="s">
        <v>45</v>
      </c>
      <c r="I59" s="242"/>
      <c r="K59" s="213"/>
      <c r="L59" s="96"/>
    </row>
    <row r="60" spans="1:14" s="95" customFormat="1" ht="20.100000000000001" customHeight="1" x14ac:dyDescent="0.15">
      <c r="A60" s="73"/>
      <c r="B60" s="74"/>
      <c r="C60" s="30" t="s">
        <v>46</v>
      </c>
      <c r="D60" s="118">
        <v>300000</v>
      </c>
      <c r="E60" s="118">
        <f>I61</f>
        <v>300000</v>
      </c>
      <c r="F60" s="123">
        <f t="shared" si="3"/>
        <v>0</v>
      </c>
      <c r="G60" s="174">
        <f>F60/E60*100</f>
        <v>0</v>
      </c>
      <c r="H60" s="250" t="s">
        <v>46</v>
      </c>
      <c r="I60" s="238"/>
      <c r="L60" s="96"/>
    </row>
    <row r="61" spans="1:14" s="95" customFormat="1" ht="20.100000000000001" customHeight="1" x14ac:dyDescent="0.15">
      <c r="A61" s="73"/>
      <c r="B61" s="101"/>
      <c r="C61" s="74"/>
      <c r="D61" s="119"/>
      <c r="E61" s="119"/>
      <c r="F61" s="128"/>
      <c r="G61" s="182"/>
      <c r="H61" s="252" t="s">
        <v>153</v>
      </c>
      <c r="I61" s="242">
        <f>50000*6</f>
        <v>300000</v>
      </c>
      <c r="L61" s="96"/>
    </row>
    <row r="62" spans="1:14" s="95" customFormat="1" ht="20.100000000000001" customHeight="1" x14ac:dyDescent="0.15">
      <c r="A62" s="73"/>
      <c r="B62" s="74"/>
      <c r="C62" s="223" t="s">
        <v>47</v>
      </c>
      <c r="D62" s="118">
        <v>14559200</v>
      </c>
      <c r="E62" s="118">
        <f>SUM(I63:I71)</f>
        <v>19293700</v>
      </c>
      <c r="F62" s="123">
        <f>E62-D62</f>
        <v>4734500</v>
      </c>
      <c r="G62" s="157">
        <f>F62/E62*100</f>
        <v>24.539098254870762</v>
      </c>
      <c r="H62" s="250" t="s">
        <v>47</v>
      </c>
      <c r="I62" s="238"/>
      <c r="L62" s="96"/>
    </row>
    <row r="63" spans="1:14" s="95" customFormat="1" ht="20.100000000000001" customHeight="1" x14ac:dyDescent="0.15">
      <c r="A63" s="73"/>
      <c r="B63" s="74"/>
      <c r="C63" s="225"/>
      <c r="D63" s="119"/>
      <c r="E63" s="119"/>
      <c r="F63" s="128"/>
      <c r="G63" s="128"/>
      <c r="H63" s="253" t="s">
        <v>246</v>
      </c>
      <c r="I63" s="240">
        <f>350000*10</f>
        <v>3500000</v>
      </c>
      <c r="L63" s="96"/>
    </row>
    <row r="64" spans="1:14" s="95" customFormat="1" ht="20.100000000000001" customHeight="1" x14ac:dyDescent="0.15">
      <c r="A64" s="73"/>
      <c r="B64" s="101"/>
      <c r="C64" s="225"/>
      <c r="D64" s="119"/>
      <c r="E64" s="119"/>
      <c r="F64" s="128"/>
      <c r="G64" s="128"/>
      <c r="H64" s="253" t="s">
        <v>197</v>
      </c>
      <c r="I64" s="240">
        <f>250000*4</f>
        <v>1000000</v>
      </c>
      <c r="L64" s="96"/>
    </row>
    <row r="65" spans="1:12" s="95" customFormat="1" ht="20.100000000000001" customHeight="1" x14ac:dyDescent="0.15">
      <c r="A65" s="73"/>
      <c r="B65" s="101"/>
      <c r="C65" s="74"/>
      <c r="D65" s="119"/>
      <c r="E65" s="119"/>
      <c r="F65" s="128"/>
      <c r="G65" s="128"/>
      <c r="H65" s="254" t="s">
        <v>122</v>
      </c>
      <c r="I65" s="240">
        <f>204600*12</f>
        <v>2455200</v>
      </c>
      <c r="L65" s="96"/>
    </row>
    <row r="66" spans="1:12" s="95" customFormat="1" ht="20.100000000000001" customHeight="1" x14ac:dyDescent="0.15">
      <c r="A66" s="73"/>
      <c r="B66" s="101"/>
      <c r="C66" s="74"/>
      <c r="D66" s="119"/>
      <c r="E66" s="119"/>
      <c r="F66" s="128"/>
      <c r="G66" s="128"/>
      <c r="H66" s="239" t="s">
        <v>104</v>
      </c>
      <c r="I66" s="240">
        <f>300000*4</f>
        <v>1200000</v>
      </c>
      <c r="L66" s="96"/>
    </row>
    <row r="67" spans="1:12" s="95" customFormat="1" ht="20.100000000000001" customHeight="1" x14ac:dyDescent="0.15">
      <c r="A67" s="73"/>
      <c r="B67" s="101"/>
      <c r="C67" s="74"/>
      <c r="D67" s="119"/>
      <c r="E67" s="119"/>
      <c r="F67" s="128"/>
      <c r="G67" s="128"/>
      <c r="H67" s="239" t="s">
        <v>112</v>
      </c>
      <c r="I67" s="240">
        <f>500000*12</f>
        <v>6000000</v>
      </c>
      <c r="L67" s="96"/>
    </row>
    <row r="68" spans="1:12" s="95" customFormat="1" ht="20.100000000000001" customHeight="1" x14ac:dyDescent="0.15">
      <c r="A68" s="73"/>
      <c r="B68" s="101"/>
      <c r="C68" s="74"/>
      <c r="D68" s="119"/>
      <c r="E68" s="119"/>
      <c r="F68" s="128"/>
      <c r="G68" s="128"/>
      <c r="H68" s="239" t="s">
        <v>67</v>
      </c>
      <c r="I68" s="240">
        <f>77000*12</f>
        <v>924000</v>
      </c>
      <c r="L68" s="96"/>
    </row>
    <row r="69" spans="1:12" s="95" customFormat="1" ht="20.100000000000001" customHeight="1" x14ac:dyDescent="0.15">
      <c r="A69" s="73"/>
      <c r="B69" s="101"/>
      <c r="C69" s="74"/>
      <c r="D69" s="119"/>
      <c r="E69" s="119"/>
      <c r="F69" s="128"/>
      <c r="G69" s="128"/>
      <c r="H69" s="239" t="s">
        <v>138</v>
      </c>
      <c r="I69" s="240">
        <f>30000*6</f>
        <v>180000</v>
      </c>
      <c r="L69" s="96"/>
    </row>
    <row r="70" spans="1:12" s="95" customFormat="1" ht="20.100000000000001" customHeight="1" x14ac:dyDescent="0.15">
      <c r="A70" s="73"/>
      <c r="B70" s="101"/>
      <c r="C70" s="74"/>
      <c r="D70" s="119"/>
      <c r="E70" s="119"/>
      <c r="F70" s="128"/>
      <c r="G70" s="128"/>
      <c r="H70" s="239" t="s">
        <v>231</v>
      </c>
      <c r="I70" s="240">
        <f>625000*4</f>
        <v>2500000</v>
      </c>
      <c r="L70" s="96"/>
    </row>
    <row r="71" spans="1:12" s="95" customFormat="1" ht="20.100000000000001" customHeight="1" x14ac:dyDescent="0.15">
      <c r="A71" s="108"/>
      <c r="B71" s="110"/>
      <c r="C71" s="109"/>
      <c r="D71" s="121"/>
      <c r="E71" s="121"/>
      <c r="F71" s="127"/>
      <c r="G71" s="127"/>
      <c r="H71" s="248" t="s">
        <v>243</v>
      </c>
      <c r="I71" s="241">
        <v>1534500</v>
      </c>
      <c r="L71" s="96"/>
    </row>
    <row r="72" spans="1:12" s="95" customFormat="1" ht="20.100000000000001" customHeight="1" x14ac:dyDescent="0.15">
      <c r="A72" s="73"/>
      <c r="B72" s="74"/>
      <c r="C72" s="74" t="s">
        <v>48</v>
      </c>
      <c r="D72" s="119">
        <v>6840000</v>
      </c>
      <c r="E72" s="119">
        <f>I73+I74</f>
        <v>6840000</v>
      </c>
      <c r="F72" s="128">
        <f t="shared" ref="F72" si="4">E72-D72</f>
        <v>0</v>
      </c>
      <c r="G72" s="156">
        <f>F72/E72*100</f>
        <v>0</v>
      </c>
      <c r="H72" s="239" t="s">
        <v>48</v>
      </c>
      <c r="I72" s="240"/>
      <c r="L72" s="96"/>
    </row>
    <row r="73" spans="1:12" s="95" customFormat="1" ht="20.100000000000001" customHeight="1" x14ac:dyDescent="0.15">
      <c r="A73" s="73"/>
      <c r="B73" s="101"/>
      <c r="C73" s="74"/>
      <c r="D73" s="119"/>
      <c r="E73" s="119"/>
      <c r="F73" s="128"/>
      <c r="G73" s="175"/>
      <c r="H73" s="239" t="s">
        <v>111</v>
      </c>
      <c r="I73" s="240">
        <f>70000*12</f>
        <v>840000</v>
      </c>
      <c r="L73" s="96"/>
    </row>
    <row r="74" spans="1:12" s="95" customFormat="1" ht="20.100000000000001" customHeight="1" x14ac:dyDescent="0.15">
      <c r="A74" s="73"/>
      <c r="B74" s="101"/>
      <c r="C74" s="74"/>
      <c r="D74" s="119"/>
      <c r="E74" s="119"/>
      <c r="F74" s="128"/>
      <c r="G74" s="175"/>
      <c r="H74" s="239" t="s">
        <v>247</v>
      </c>
      <c r="I74" s="242">
        <f>500000*12</f>
        <v>6000000</v>
      </c>
      <c r="L74" s="96"/>
    </row>
    <row r="75" spans="1:12" s="95" customFormat="1" ht="20.100000000000001" customHeight="1" x14ac:dyDescent="0.15">
      <c r="A75" s="104"/>
      <c r="B75" s="74"/>
      <c r="C75" s="30" t="s">
        <v>49</v>
      </c>
      <c r="D75" s="118">
        <v>5775500</v>
      </c>
      <c r="E75" s="118">
        <f>I76+I77+I78+I79+I81+I80</f>
        <v>8191680</v>
      </c>
      <c r="F75" s="123">
        <f t="shared" ref="F75" si="5">E75-D75</f>
        <v>2416180</v>
      </c>
      <c r="G75" s="174">
        <f>F75/E75*100</f>
        <v>29.495536935036526</v>
      </c>
      <c r="H75" s="250" t="s">
        <v>49</v>
      </c>
      <c r="I75" s="240"/>
      <c r="L75" s="96"/>
    </row>
    <row r="76" spans="1:12" s="95" customFormat="1" ht="20.100000000000001" customHeight="1" x14ac:dyDescent="0.15">
      <c r="A76" s="73"/>
      <c r="B76" s="101"/>
      <c r="C76" s="74"/>
      <c r="D76" s="119"/>
      <c r="E76" s="119"/>
      <c r="F76" s="128"/>
      <c r="G76" s="175"/>
      <c r="H76" s="239" t="s">
        <v>103</v>
      </c>
      <c r="I76" s="240">
        <f>50000*2</f>
        <v>100000</v>
      </c>
      <c r="L76" s="96"/>
    </row>
    <row r="77" spans="1:12" s="95" customFormat="1" ht="20.100000000000001" customHeight="1" x14ac:dyDescent="0.15">
      <c r="A77" s="73"/>
      <c r="B77" s="101"/>
      <c r="C77" s="74"/>
      <c r="D77" s="119"/>
      <c r="E77" s="119"/>
      <c r="F77" s="128"/>
      <c r="G77" s="175"/>
      <c r="H77" s="239" t="s">
        <v>193</v>
      </c>
      <c r="I77" s="240">
        <f>935500*1</f>
        <v>935500</v>
      </c>
      <c r="L77" s="96"/>
    </row>
    <row r="78" spans="1:12" s="95" customFormat="1" ht="20.100000000000001" customHeight="1" x14ac:dyDescent="0.15">
      <c r="A78" s="73"/>
      <c r="B78" s="101"/>
      <c r="C78" s="74"/>
      <c r="D78" s="119"/>
      <c r="E78" s="119"/>
      <c r="F78" s="128"/>
      <c r="G78" s="175"/>
      <c r="H78" s="239" t="s">
        <v>233</v>
      </c>
      <c r="I78" s="240">
        <f>300000*4</f>
        <v>1200000</v>
      </c>
      <c r="L78" s="96"/>
    </row>
    <row r="79" spans="1:12" s="95" customFormat="1" ht="20.100000000000001" customHeight="1" x14ac:dyDescent="0.15">
      <c r="A79" s="73"/>
      <c r="B79" s="101"/>
      <c r="C79" s="74"/>
      <c r="D79" s="119"/>
      <c r="E79" s="119"/>
      <c r="F79" s="128"/>
      <c r="G79" s="175"/>
      <c r="H79" s="239" t="s">
        <v>232</v>
      </c>
      <c r="I79" s="240">
        <f>1000000*4</f>
        <v>4000000</v>
      </c>
      <c r="L79" s="96"/>
    </row>
    <row r="80" spans="1:12" s="95" customFormat="1" ht="20.100000000000001" customHeight="1" x14ac:dyDescent="0.15">
      <c r="A80" s="73"/>
      <c r="B80" s="101"/>
      <c r="C80" s="74"/>
      <c r="D80" s="119"/>
      <c r="E80" s="119"/>
      <c r="F80" s="128"/>
      <c r="G80" s="175"/>
      <c r="H80" s="239" t="s">
        <v>235</v>
      </c>
      <c r="I80" s="240">
        <v>1716180</v>
      </c>
      <c r="L80" s="96"/>
    </row>
    <row r="81" spans="1:35" s="95" customFormat="1" ht="20.100000000000001" customHeight="1" x14ac:dyDescent="0.15">
      <c r="A81" s="73"/>
      <c r="B81" s="101"/>
      <c r="C81" s="100"/>
      <c r="D81" s="126"/>
      <c r="E81" s="126"/>
      <c r="F81" s="125"/>
      <c r="G81" s="180"/>
      <c r="H81" s="252" t="s">
        <v>124</v>
      </c>
      <c r="I81" s="242">
        <f>80000*3</f>
        <v>240000</v>
      </c>
      <c r="L81" s="96"/>
    </row>
    <row r="82" spans="1:35" s="95" customFormat="1" ht="20.100000000000001" customHeight="1" x14ac:dyDescent="0.15">
      <c r="A82" s="104"/>
      <c r="B82" s="74"/>
      <c r="C82" s="74" t="s">
        <v>50</v>
      </c>
      <c r="D82" s="119">
        <v>10800000</v>
      </c>
      <c r="E82" s="119">
        <f>I83+I84</f>
        <v>9600000</v>
      </c>
      <c r="F82" s="128">
        <f t="shared" ref="F82" si="6">E82-D82</f>
        <v>-1200000</v>
      </c>
      <c r="G82" s="156">
        <f>F82/E82*100</f>
        <v>-12.5</v>
      </c>
      <c r="H82" s="239" t="s">
        <v>50</v>
      </c>
      <c r="I82" s="240"/>
      <c r="L82" s="96"/>
    </row>
    <row r="83" spans="1:35" s="95" customFormat="1" ht="20.100000000000001" customHeight="1" x14ac:dyDescent="0.15">
      <c r="A83" s="73"/>
      <c r="B83" s="101"/>
      <c r="C83" s="74"/>
      <c r="D83" s="119"/>
      <c r="E83" s="119"/>
      <c r="F83" s="128"/>
      <c r="G83" s="175"/>
      <c r="H83" s="239" t="s">
        <v>234</v>
      </c>
      <c r="I83" s="240">
        <f>500000*12</f>
        <v>6000000</v>
      </c>
      <c r="L83" s="96"/>
    </row>
    <row r="84" spans="1:35" s="95" customFormat="1" ht="20.100000000000001" customHeight="1" x14ac:dyDescent="0.15">
      <c r="A84" s="73"/>
      <c r="B84" s="101"/>
      <c r="C84" s="74"/>
      <c r="D84" s="119"/>
      <c r="E84" s="119"/>
      <c r="F84" s="128"/>
      <c r="G84" s="180"/>
      <c r="H84" s="239" t="s">
        <v>200</v>
      </c>
      <c r="I84" s="242">
        <f>300000*3*4</f>
        <v>3600000</v>
      </c>
      <c r="L84" s="96"/>
    </row>
    <row r="85" spans="1:35" s="95" customFormat="1" ht="20.100000000000001" customHeight="1" x14ac:dyDescent="0.15">
      <c r="A85" s="73"/>
      <c r="B85" s="101"/>
      <c r="C85" s="30" t="s">
        <v>51</v>
      </c>
      <c r="D85" s="118">
        <v>7400000</v>
      </c>
      <c r="E85" s="118">
        <f>I86+I87+I88</f>
        <v>7400000</v>
      </c>
      <c r="F85" s="123">
        <f t="shared" ref="F85" si="7">E85-D85</f>
        <v>0</v>
      </c>
      <c r="G85" s="174">
        <f>F85/E85*100</f>
        <v>0</v>
      </c>
      <c r="H85" s="250" t="s">
        <v>51</v>
      </c>
      <c r="I85" s="240"/>
      <c r="L85" s="96"/>
    </row>
    <row r="86" spans="1:35" s="136" customFormat="1" ht="20.100000000000001" customHeight="1" x14ac:dyDescent="0.15">
      <c r="A86" s="73"/>
      <c r="B86" s="101"/>
      <c r="C86" s="74"/>
      <c r="D86" s="119"/>
      <c r="E86" s="119"/>
      <c r="F86" s="128"/>
      <c r="G86" s="175"/>
      <c r="H86" s="239" t="s">
        <v>134</v>
      </c>
      <c r="I86" s="240">
        <f>500000*12</f>
        <v>6000000</v>
      </c>
      <c r="J86" s="212"/>
      <c r="K86" s="213"/>
      <c r="L86" s="214"/>
      <c r="M86" s="213"/>
      <c r="N86" s="213"/>
      <c r="O86" s="213"/>
      <c r="P86" s="213"/>
      <c r="Q86" s="213"/>
      <c r="R86" s="213"/>
      <c r="S86" s="213"/>
      <c r="T86" s="213"/>
      <c r="U86" s="213"/>
      <c r="V86" s="213"/>
      <c r="W86" s="213"/>
      <c r="X86" s="213"/>
      <c r="Y86" s="213"/>
      <c r="Z86" s="213"/>
      <c r="AA86" s="213"/>
      <c r="AB86" s="213"/>
      <c r="AC86" s="213"/>
      <c r="AD86" s="213"/>
      <c r="AE86" s="213"/>
      <c r="AF86" s="213"/>
      <c r="AG86" s="213"/>
      <c r="AH86" s="213"/>
      <c r="AI86" s="213"/>
    </row>
    <row r="87" spans="1:35" s="95" customFormat="1" ht="20.100000000000001" customHeight="1" x14ac:dyDescent="0.15">
      <c r="A87" s="73"/>
      <c r="B87" s="101"/>
      <c r="C87" s="74"/>
      <c r="D87" s="119"/>
      <c r="E87" s="119"/>
      <c r="F87" s="128"/>
      <c r="G87" s="175"/>
      <c r="H87" s="239" t="s">
        <v>135</v>
      </c>
      <c r="I87" s="240">
        <f>100000*9</f>
        <v>900000</v>
      </c>
      <c r="L87" s="96"/>
    </row>
    <row r="88" spans="1:35" s="95" customFormat="1" ht="20.100000000000001" customHeight="1" x14ac:dyDescent="0.15">
      <c r="A88" s="137"/>
      <c r="B88" s="105"/>
      <c r="C88" s="100"/>
      <c r="D88" s="126"/>
      <c r="E88" s="126"/>
      <c r="F88" s="125"/>
      <c r="G88" s="180"/>
      <c r="H88" s="252" t="s">
        <v>155</v>
      </c>
      <c r="I88" s="242">
        <f>100000*5</f>
        <v>500000</v>
      </c>
      <c r="L88" s="96"/>
    </row>
    <row r="89" spans="1:35" s="95" customFormat="1" ht="20.100000000000001" customHeight="1" x14ac:dyDescent="0.15">
      <c r="A89" s="137" t="s">
        <v>24</v>
      </c>
      <c r="B89" s="132"/>
      <c r="C89" s="106"/>
      <c r="D89" s="129">
        <v>23041996</v>
      </c>
      <c r="E89" s="129">
        <f>E90</f>
        <v>60484986</v>
      </c>
      <c r="F89" s="124">
        <f t="shared" si="0"/>
        <v>37442990</v>
      </c>
      <c r="G89" s="183">
        <f>F89/E89*100</f>
        <v>61.904602242943398</v>
      </c>
      <c r="H89" s="252" t="s">
        <v>24</v>
      </c>
      <c r="I89" s="255"/>
      <c r="L89" s="96"/>
    </row>
    <row r="90" spans="1:35" s="95" customFormat="1" ht="20.100000000000001" customHeight="1" x14ac:dyDescent="0.15">
      <c r="A90" s="319"/>
      <c r="B90" s="218" t="s">
        <v>25</v>
      </c>
      <c r="C90" s="219"/>
      <c r="D90" s="116">
        <v>23041996</v>
      </c>
      <c r="E90" s="116">
        <f>E91+E99</f>
        <v>60484986</v>
      </c>
      <c r="F90" s="117">
        <f t="shared" si="0"/>
        <v>37442990</v>
      </c>
      <c r="G90" s="154">
        <f>F90/E90*100</f>
        <v>61.904602242943398</v>
      </c>
      <c r="H90" s="256" t="s">
        <v>25</v>
      </c>
      <c r="I90" s="237"/>
      <c r="L90" s="96"/>
    </row>
    <row r="91" spans="1:35" s="95" customFormat="1" ht="20.100000000000001" customHeight="1" x14ac:dyDescent="0.15">
      <c r="A91" s="319"/>
      <c r="B91" s="222"/>
      <c r="C91" s="30" t="s">
        <v>26</v>
      </c>
      <c r="D91" s="118">
        <v>19229996</v>
      </c>
      <c r="E91" s="118">
        <f>SUM(I92:I98)</f>
        <v>56672986</v>
      </c>
      <c r="F91" s="123">
        <f>E91-D91</f>
        <v>37442990</v>
      </c>
      <c r="G91" s="155">
        <f>F91/E91*100</f>
        <v>66.068496902563069</v>
      </c>
      <c r="H91" s="257" t="s">
        <v>26</v>
      </c>
      <c r="I91" s="258"/>
      <c r="L91" s="96"/>
    </row>
    <row r="92" spans="1:35" s="95" customFormat="1" ht="20.100000000000001" customHeight="1" x14ac:dyDescent="0.15">
      <c r="A92" s="99"/>
      <c r="B92" s="138"/>
      <c r="C92" s="74"/>
      <c r="D92" s="119"/>
      <c r="E92" s="119"/>
      <c r="F92" s="128"/>
      <c r="G92" s="155"/>
      <c r="H92" s="259" t="s">
        <v>136</v>
      </c>
      <c r="I92" s="240">
        <f>300000*4</f>
        <v>1200000</v>
      </c>
      <c r="L92" s="96"/>
    </row>
    <row r="93" spans="1:35" s="95" customFormat="1" ht="20.100000000000001" customHeight="1" x14ac:dyDescent="0.15">
      <c r="A93" s="99"/>
      <c r="B93" s="138"/>
      <c r="C93" s="74"/>
      <c r="D93" s="119"/>
      <c r="E93" s="119"/>
      <c r="F93" s="128"/>
      <c r="G93" s="155"/>
      <c r="H93" s="254" t="s">
        <v>120</v>
      </c>
      <c r="I93" s="240">
        <f>238333*12</f>
        <v>2859996</v>
      </c>
      <c r="L93" s="96"/>
    </row>
    <row r="94" spans="1:35" s="95" customFormat="1" ht="20.100000000000001" customHeight="1" x14ac:dyDescent="0.15">
      <c r="A94" s="99"/>
      <c r="B94" s="138"/>
      <c r="C94" s="74"/>
      <c r="D94" s="119"/>
      <c r="E94" s="119"/>
      <c r="F94" s="128"/>
      <c r="G94" s="155"/>
      <c r="H94" s="254" t="s">
        <v>148</v>
      </c>
      <c r="I94" s="240">
        <f>1800000*2</f>
        <v>3600000</v>
      </c>
      <c r="L94" s="96"/>
    </row>
    <row r="95" spans="1:35" s="95" customFormat="1" ht="20.100000000000001" customHeight="1" x14ac:dyDescent="0.15">
      <c r="A95" s="108"/>
      <c r="B95" s="110"/>
      <c r="C95" s="109"/>
      <c r="D95" s="121"/>
      <c r="E95" s="121"/>
      <c r="F95" s="127"/>
      <c r="G95" s="127"/>
      <c r="H95" s="248" t="s">
        <v>199</v>
      </c>
      <c r="I95" s="241">
        <f>1570000*1</f>
        <v>1570000</v>
      </c>
      <c r="L95" s="96"/>
    </row>
    <row r="96" spans="1:35" s="95" customFormat="1" ht="20.100000000000001" customHeight="1" x14ac:dyDescent="0.15">
      <c r="A96" s="73"/>
      <c r="B96" s="101"/>
      <c r="C96" s="74"/>
      <c r="D96" s="119"/>
      <c r="E96" s="119"/>
      <c r="F96" s="128"/>
      <c r="G96" s="128"/>
      <c r="H96" s="239" t="s">
        <v>248</v>
      </c>
      <c r="I96" s="240">
        <v>7484000</v>
      </c>
      <c r="L96" s="96"/>
    </row>
    <row r="97" spans="1:12" s="95" customFormat="1" ht="20.100000000000001" customHeight="1" x14ac:dyDescent="0.15">
      <c r="A97" s="73"/>
      <c r="B97" s="101"/>
      <c r="C97" s="74"/>
      <c r="D97" s="119"/>
      <c r="E97" s="119"/>
      <c r="F97" s="128"/>
      <c r="G97" s="128"/>
      <c r="H97" s="239" t="s">
        <v>236</v>
      </c>
      <c r="I97" s="240">
        <v>36504990</v>
      </c>
      <c r="L97" s="96"/>
    </row>
    <row r="98" spans="1:12" s="95" customFormat="1" ht="20.100000000000001" customHeight="1" x14ac:dyDescent="0.15">
      <c r="A98" s="99"/>
      <c r="B98" s="222"/>
      <c r="C98" s="100"/>
      <c r="D98" s="126"/>
      <c r="E98" s="126"/>
      <c r="F98" s="125"/>
      <c r="G98" s="182"/>
      <c r="H98" s="254" t="s">
        <v>241</v>
      </c>
      <c r="I98" s="242">
        <v>3454000</v>
      </c>
      <c r="L98" s="96"/>
    </row>
    <row r="99" spans="1:12" s="95" customFormat="1" ht="20.100000000000001" customHeight="1" x14ac:dyDescent="0.15">
      <c r="A99" s="217"/>
      <c r="B99" s="138"/>
      <c r="C99" s="223" t="s">
        <v>92</v>
      </c>
      <c r="D99" s="119">
        <v>3812000</v>
      </c>
      <c r="E99" s="119">
        <f>I100+I103+I101+I102</f>
        <v>3812000</v>
      </c>
      <c r="F99" s="128">
        <f t="shared" si="0"/>
        <v>0</v>
      </c>
      <c r="G99" s="156">
        <f>F99/E99*100</f>
        <v>0</v>
      </c>
      <c r="H99" s="257" t="s">
        <v>92</v>
      </c>
      <c r="I99" s="238"/>
      <c r="L99" s="96"/>
    </row>
    <row r="100" spans="1:12" s="95" customFormat="1" ht="20.100000000000001" customHeight="1" x14ac:dyDescent="0.15">
      <c r="A100" s="99"/>
      <c r="B100" s="222"/>
      <c r="C100" s="225"/>
      <c r="D100" s="119"/>
      <c r="E100" s="119"/>
      <c r="F100" s="128"/>
      <c r="G100" s="155"/>
      <c r="H100" s="254" t="s">
        <v>133</v>
      </c>
      <c r="I100" s="240">
        <f>100000*1</f>
        <v>100000</v>
      </c>
      <c r="L100" s="96"/>
    </row>
    <row r="101" spans="1:12" s="95" customFormat="1" ht="20.100000000000001" customHeight="1" x14ac:dyDescent="0.15">
      <c r="A101" s="99"/>
      <c r="B101" s="222"/>
      <c r="C101" s="225"/>
      <c r="D101" s="119"/>
      <c r="E101" s="119"/>
      <c r="F101" s="128"/>
      <c r="G101" s="155"/>
      <c r="H101" s="254" t="s">
        <v>152</v>
      </c>
      <c r="I101" s="240">
        <f>1500000*1</f>
        <v>1500000</v>
      </c>
      <c r="L101" s="96"/>
    </row>
    <row r="102" spans="1:12" s="95" customFormat="1" ht="20.100000000000001" customHeight="1" x14ac:dyDescent="0.15">
      <c r="A102" s="99"/>
      <c r="B102" s="222"/>
      <c r="C102" s="225"/>
      <c r="D102" s="119"/>
      <c r="E102" s="119"/>
      <c r="F102" s="128"/>
      <c r="G102" s="155"/>
      <c r="H102" s="254" t="s">
        <v>196</v>
      </c>
      <c r="I102" s="240">
        <f>1056000*2</f>
        <v>2112000</v>
      </c>
      <c r="L102" s="96"/>
    </row>
    <row r="103" spans="1:12" s="95" customFormat="1" ht="20.100000000000001" customHeight="1" x14ac:dyDescent="0.15">
      <c r="A103" s="99"/>
      <c r="B103" s="288"/>
      <c r="C103" s="100"/>
      <c r="D103" s="126"/>
      <c r="E103" s="126"/>
      <c r="F103" s="128"/>
      <c r="G103" s="182"/>
      <c r="H103" s="262" t="s">
        <v>151</v>
      </c>
      <c r="I103" s="240">
        <f>100000*1</f>
        <v>100000</v>
      </c>
      <c r="L103" s="96"/>
    </row>
    <row r="104" spans="1:12" s="95" customFormat="1" ht="20.100000000000001" customHeight="1" x14ac:dyDescent="0.15">
      <c r="A104" s="291" t="s">
        <v>52</v>
      </c>
      <c r="B104" s="132"/>
      <c r="C104" s="106"/>
      <c r="D104" s="129">
        <v>49322930</v>
      </c>
      <c r="E104" s="129">
        <f>E105+E113+E141</f>
        <v>41464380</v>
      </c>
      <c r="F104" s="115">
        <f t="shared" ref="F104:F105" si="8">E104-D104</f>
        <v>-7858550</v>
      </c>
      <c r="G104" s="183">
        <f>F105/E104*100</f>
        <v>-4.8234171112651385</v>
      </c>
      <c r="H104" s="252" t="s">
        <v>52</v>
      </c>
      <c r="I104" s="237"/>
      <c r="L104" s="96"/>
    </row>
    <row r="105" spans="1:12" s="95" customFormat="1" ht="20.100000000000001" customHeight="1" x14ac:dyDescent="0.15">
      <c r="A105" s="73"/>
      <c r="B105" s="218" t="s">
        <v>45</v>
      </c>
      <c r="C105" s="219"/>
      <c r="D105" s="116">
        <v>27700000</v>
      </c>
      <c r="E105" s="116">
        <f>E106+E109+E111</f>
        <v>25700000</v>
      </c>
      <c r="F105" s="117">
        <f t="shared" si="8"/>
        <v>-2000000</v>
      </c>
      <c r="G105" s="154">
        <f>F105/E105*100</f>
        <v>-7.782101167315175</v>
      </c>
      <c r="H105" s="256" t="s">
        <v>45</v>
      </c>
      <c r="I105" s="237"/>
      <c r="L105" s="96"/>
    </row>
    <row r="106" spans="1:12" s="95" customFormat="1" ht="20.100000000000001" customHeight="1" x14ac:dyDescent="0.15">
      <c r="A106" s="73"/>
      <c r="B106" s="74"/>
      <c r="C106" s="30" t="s">
        <v>53</v>
      </c>
      <c r="D106" s="118">
        <v>27200000</v>
      </c>
      <c r="E106" s="118">
        <f>I107+I108</f>
        <v>25200000</v>
      </c>
      <c r="F106" s="123">
        <f>E106-D106</f>
        <v>-2000000</v>
      </c>
      <c r="G106" s="174">
        <f>F106/E106*100</f>
        <v>-7.9365079365079358</v>
      </c>
      <c r="H106" s="239" t="s">
        <v>53</v>
      </c>
      <c r="I106" s="240"/>
      <c r="L106" s="96"/>
    </row>
    <row r="107" spans="1:12" s="95" customFormat="1" ht="20.100000000000001" customHeight="1" x14ac:dyDescent="0.15">
      <c r="A107" s="73"/>
      <c r="B107" s="74"/>
      <c r="C107" s="74"/>
      <c r="D107" s="119"/>
      <c r="E107" s="119"/>
      <c r="F107" s="128"/>
      <c r="G107" s="178"/>
      <c r="H107" s="239" t="s">
        <v>245</v>
      </c>
      <c r="I107" s="240">
        <f>2500*40*244</f>
        <v>24400000</v>
      </c>
      <c r="L107" s="96"/>
    </row>
    <row r="108" spans="1:12" s="95" customFormat="1" ht="20.100000000000001" customHeight="1" x14ac:dyDescent="0.15">
      <c r="A108" s="73"/>
      <c r="B108" s="270"/>
      <c r="C108" s="271"/>
      <c r="D108" s="126"/>
      <c r="E108" s="126"/>
      <c r="F108" s="125"/>
      <c r="G108" s="182"/>
      <c r="H108" s="252" t="s">
        <v>251</v>
      </c>
      <c r="I108" s="242">
        <f>800000*1</f>
        <v>800000</v>
      </c>
      <c r="L108" s="96"/>
    </row>
    <row r="109" spans="1:12" s="95" customFormat="1" ht="19.5" customHeight="1" x14ac:dyDescent="0.15">
      <c r="A109" s="73"/>
      <c r="B109" s="270"/>
      <c r="C109" s="272" t="s">
        <v>54</v>
      </c>
      <c r="D109" s="118">
        <v>200000</v>
      </c>
      <c r="E109" s="118">
        <f>I110</f>
        <v>200000</v>
      </c>
      <c r="F109" s="123">
        <f>E109-D109</f>
        <v>0</v>
      </c>
      <c r="G109" s="174">
        <f>F109/E109*100</f>
        <v>0</v>
      </c>
      <c r="H109" s="250" t="s">
        <v>54</v>
      </c>
      <c r="I109" s="238"/>
      <c r="L109" s="96"/>
    </row>
    <row r="110" spans="1:12" s="95" customFormat="1" ht="19.5" customHeight="1" x14ac:dyDescent="0.15">
      <c r="A110" s="73"/>
      <c r="B110" s="270"/>
      <c r="C110" s="271"/>
      <c r="D110" s="126"/>
      <c r="E110" s="126"/>
      <c r="F110" s="125"/>
      <c r="G110" s="154"/>
      <c r="H110" s="252" t="s">
        <v>126</v>
      </c>
      <c r="I110" s="242">
        <f>100000*2</f>
        <v>200000</v>
      </c>
      <c r="L110" s="96"/>
    </row>
    <row r="111" spans="1:12" s="95" customFormat="1" ht="19.5" customHeight="1" x14ac:dyDescent="0.15">
      <c r="A111" s="73"/>
      <c r="B111" s="270"/>
      <c r="C111" s="272" t="s">
        <v>201</v>
      </c>
      <c r="D111" s="118">
        <v>300000</v>
      </c>
      <c r="E111" s="118">
        <f>I112</f>
        <v>300000</v>
      </c>
      <c r="F111" s="123">
        <f>E111-D111</f>
        <v>0</v>
      </c>
      <c r="G111" s="174">
        <f>F111/E111*100</f>
        <v>0</v>
      </c>
      <c r="H111" s="250" t="s">
        <v>202</v>
      </c>
      <c r="I111" s="238"/>
      <c r="L111" s="96"/>
    </row>
    <row r="112" spans="1:12" s="95" customFormat="1" ht="19.5" customHeight="1" x14ac:dyDescent="0.15">
      <c r="A112" s="73"/>
      <c r="B112" s="271"/>
      <c r="C112" s="271"/>
      <c r="D112" s="126"/>
      <c r="E112" s="126"/>
      <c r="F112" s="125"/>
      <c r="G112" s="154"/>
      <c r="H112" s="252" t="s">
        <v>203</v>
      </c>
      <c r="I112" s="242">
        <f>150000*2</f>
        <v>300000</v>
      </c>
      <c r="L112" s="96"/>
    </row>
    <row r="113" spans="1:66" s="95" customFormat="1" ht="19.5" customHeight="1" x14ac:dyDescent="0.15">
      <c r="A113" s="104"/>
      <c r="B113" s="273" t="s">
        <v>52</v>
      </c>
      <c r="C113" s="274"/>
      <c r="D113" s="119">
        <v>14649930</v>
      </c>
      <c r="E113" s="119">
        <f>E114+E116+E122+E124+E128+E139</f>
        <v>11791380</v>
      </c>
      <c r="F113" s="128">
        <f t="shared" ref="F113" si="9">E113-D113</f>
        <v>-2858550</v>
      </c>
      <c r="G113" s="155">
        <f>F113/E113*100</f>
        <v>-24.242709504739903</v>
      </c>
      <c r="H113" s="239" t="s">
        <v>52</v>
      </c>
      <c r="I113" s="242"/>
      <c r="L113" s="96"/>
    </row>
    <row r="114" spans="1:66" s="95" customFormat="1" ht="20.100000000000001" customHeight="1" x14ac:dyDescent="0.15">
      <c r="A114" s="104"/>
      <c r="B114" s="30"/>
      <c r="C114" s="74" t="s">
        <v>99</v>
      </c>
      <c r="D114" s="118">
        <v>700000</v>
      </c>
      <c r="E114" s="118">
        <f>I115</f>
        <v>700000</v>
      </c>
      <c r="F114" s="123">
        <f>E114-D114</f>
        <v>0</v>
      </c>
      <c r="G114" s="174">
        <f>F114/E114*100</f>
        <v>0</v>
      </c>
      <c r="H114" s="250" t="s">
        <v>99</v>
      </c>
      <c r="I114" s="240"/>
      <c r="L114" s="96"/>
    </row>
    <row r="115" spans="1:66" s="95" customFormat="1" ht="20.100000000000001" customHeight="1" x14ac:dyDescent="0.15">
      <c r="A115" s="108"/>
      <c r="B115" s="110"/>
      <c r="C115" s="109"/>
      <c r="D115" s="121"/>
      <c r="E115" s="121"/>
      <c r="F115" s="127"/>
      <c r="G115" s="181"/>
      <c r="H115" s="248" t="s">
        <v>192</v>
      </c>
      <c r="I115" s="241">
        <f>350000*2</f>
        <v>700000</v>
      </c>
      <c r="L115" s="96"/>
    </row>
    <row r="116" spans="1:66" s="95" customFormat="1" ht="20.100000000000001" customHeight="1" x14ac:dyDescent="0.15">
      <c r="A116" s="73"/>
      <c r="B116" s="74"/>
      <c r="C116" s="357" t="s">
        <v>95</v>
      </c>
      <c r="D116" s="119">
        <v>3840000</v>
      </c>
      <c r="E116" s="119">
        <f>I117+I118+I119+I120+I121</f>
        <v>2540000</v>
      </c>
      <c r="F116" s="128">
        <f t="shared" ref="F116" si="10">E116-D116</f>
        <v>-1300000</v>
      </c>
      <c r="G116" s="178">
        <f>F116/E116*100</f>
        <v>-51.181102362204726</v>
      </c>
      <c r="H116" s="260" t="s">
        <v>95</v>
      </c>
      <c r="I116" s="240"/>
      <c r="L116" s="96"/>
    </row>
    <row r="117" spans="1:66" s="95" customFormat="1" ht="20.100000000000001" customHeight="1" x14ac:dyDescent="0.15">
      <c r="A117" s="73"/>
      <c r="B117" s="74"/>
      <c r="C117" s="357"/>
      <c r="D117" s="119"/>
      <c r="E117" s="119"/>
      <c r="F117" s="120"/>
      <c r="G117" s="175"/>
      <c r="H117" s="239" t="s">
        <v>140</v>
      </c>
      <c r="I117" s="240">
        <f>100000*12</f>
        <v>1200000</v>
      </c>
      <c r="L117" s="96"/>
    </row>
    <row r="118" spans="1:66" s="95" customFormat="1" ht="20.100000000000001" customHeight="1" x14ac:dyDescent="0.15">
      <c r="A118" s="73"/>
      <c r="B118" s="74"/>
      <c r="C118" s="211"/>
      <c r="D118" s="119"/>
      <c r="E118" s="119"/>
      <c r="F118" s="120"/>
      <c r="G118" s="175"/>
      <c r="H118" s="239" t="s">
        <v>141</v>
      </c>
      <c r="I118" s="240">
        <f>100000*6</f>
        <v>600000</v>
      </c>
      <c r="L118" s="96"/>
    </row>
    <row r="119" spans="1:66" s="95" customFormat="1" ht="20.100000000000001" customHeight="1" x14ac:dyDescent="0.15">
      <c r="A119" s="73"/>
      <c r="B119" s="74"/>
      <c r="C119" s="225"/>
      <c r="D119" s="119"/>
      <c r="E119" s="119"/>
      <c r="F119" s="120"/>
      <c r="G119" s="175"/>
      <c r="H119" s="239" t="s">
        <v>142</v>
      </c>
      <c r="I119" s="240">
        <f>50000*2</f>
        <v>100000</v>
      </c>
      <c r="L119" s="96"/>
    </row>
    <row r="120" spans="1:66" s="136" customFormat="1" ht="20.100000000000001" customHeight="1" x14ac:dyDescent="0.15">
      <c r="A120" s="104"/>
      <c r="B120" s="74"/>
      <c r="C120" s="225"/>
      <c r="D120" s="119"/>
      <c r="E120" s="119"/>
      <c r="F120" s="120"/>
      <c r="G120" s="175"/>
      <c r="H120" s="239" t="s">
        <v>194</v>
      </c>
      <c r="I120" s="240">
        <f>100000*6</f>
        <v>600000</v>
      </c>
      <c r="J120" s="213"/>
      <c r="K120" s="213"/>
      <c r="L120" s="214"/>
      <c r="M120" s="213"/>
      <c r="N120" s="213"/>
      <c r="O120" s="213"/>
      <c r="P120" s="213"/>
      <c r="Q120" s="213"/>
      <c r="R120" s="213"/>
      <c r="S120" s="213"/>
      <c r="T120" s="213"/>
      <c r="U120" s="213"/>
      <c r="V120" s="213"/>
      <c r="W120" s="213"/>
      <c r="X120" s="213"/>
      <c r="Y120" s="213"/>
      <c r="Z120" s="213"/>
      <c r="AA120" s="213"/>
      <c r="AB120" s="213"/>
      <c r="AC120" s="213"/>
      <c r="AD120" s="213"/>
      <c r="AE120" s="213"/>
      <c r="AF120" s="213"/>
      <c r="AG120" s="213"/>
      <c r="AH120" s="213"/>
      <c r="AI120" s="213"/>
      <c r="AJ120" s="213"/>
      <c r="AK120" s="213"/>
      <c r="AL120" s="213"/>
      <c r="AM120" s="213"/>
      <c r="AN120" s="213"/>
      <c r="AO120" s="213"/>
      <c r="AP120" s="213"/>
      <c r="AQ120" s="213"/>
      <c r="AR120" s="213"/>
      <c r="AS120" s="213"/>
      <c r="AT120" s="213"/>
      <c r="AU120" s="213"/>
      <c r="AV120" s="213"/>
      <c r="AW120" s="213"/>
      <c r="AX120" s="213"/>
      <c r="AY120" s="213"/>
      <c r="AZ120" s="213"/>
      <c r="BA120" s="213"/>
      <c r="BB120" s="213"/>
      <c r="BC120" s="213"/>
      <c r="BD120" s="213"/>
      <c r="BE120" s="213"/>
      <c r="BF120" s="213"/>
      <c r="BG120" s="213"/>
      <c r="BH120" s="213"/>
      <c r="BI120" s="213"/>
      <c r="BJ120" s="213"/>
      <c r="BK120" s="213"/>
      <c r="BL120" s="213"/>
      <c r="BM120" s="213"/>
      <c r="BN120" s="213"/>
    </row>
    <row r="121" spans="1:66" s="95" customFormat="1" ht="20.100000000000001" customHeight="1" x14ac:dyDescent="0.15">
      <c r="A121" s="73"/>
      <c r="B121" s="74"/>
      <c r="C121" s="225"/>
      <c r="D121" s="119"/>
      <c r="E121" s="119"/>
      <c r="F121" s="120"/>
      <c r="G121" s="175"/>
      <c r="H121" s="239" t="s">
        <v>143</v>
      </c>
      <c r="I121" s="240">
        <f>20000*2</f>
        <v>40000</v>
      </c>
      <c r="J121" s="212"/>
      <c r="K121" s="213"/>
      <c r="L121" s="214"/>
      <c r="M121" s="213"/>
      <c r="N121" s="213"/>
      <c r="O121" s="213"/>
      <c r="P121" s="213"/>
      <c r="Q121" s="213"/>
      <c r="R121" s="213"/>
      <c r="S121" s="213"/>
      <c r="T121" s="213"/>
      <c r="U121" s="213"/>
      <c r="V121" s="213"/>
      <c r="W121" s="213"/>
      <c r="X121" s="213"/>
      <c r="Y121" s="213"/>
      <c r="Z121" s="213"/>
      <c r="AA121" s="213"/>
      <c r="AB121" s="213"/>
      <c r="AC121" s="213"/>
      <c r="AD121" s="213"/>
      <c r="AE121" s="213"/>
      <c r="AF121" s="213"/>
      <c r="AG121" s="213"/>
      <c r="AH121" s="213"/>
      <c r="AI121" s="213"/>
      <c r="AJ121" s="213"/>
      <c r="AK121" s="213"/>
      <c r="AL121" s="213"/>
      <c r="AM121" s="213"/>
      <c r="AN121" s="213"/>
      <c r="AO121" s="213"/>
      <c r="AP121" s="213"/>
      <c r="AQ121" s="213"/>
      <c r="AR121" s="213"/>
      <c r="AS121" s="213"/>
      <c r="AT121" s="213"/>
      <c r="AU121" s="213"/>
      <c r="AV121" s="213"/>
      <c r="AW121" s="213"/>
      <c r="AX121" s="213"/>
      <c r="AY121" s="213"/>
      <c r="AZ121" s="213"/>
      <c r="BA121" s="213"/>
      <c r="BB121" s="213"/>
      <c r="BC121" s="213"/>
      <c r="BD121" s="213"/>
      <c r="BE121" s="213"/>
      <c r="BF121" s="213"/>
      <c r="BG121" s="213"/>
      <c r="BH121" s="213"/>
      <c r="BI121" s="213"/>
      <c r="BJ121" s="213"/>
      <c r="BK121" s="213"/>
      <c r="BL121" s="213"/>
      <c r="BM121" s="213"/>
      <c r="BN121" s="213"/>
    </row>
    <row r="122" spans="1:66" s="95" customFormat="1" ht="20.100000000000001" customHeight="1" x14ac:dyDescent="0.15">
      <c r="A122" s="104"/>
      <c r="B122" s="74"/>
      <c r="C122" s="358" t="s">
        <v>147</v>
      </c>
      <c r="D122" s="118">
        <v>200000</v>
      </c>
      <c r="E122" s="118">
        <f>I123</f>
        <v>200000</v>
      </c>
      <c r="F122" s="123">
        <f>E122-D122</f>
        <v>0</v>
      </c>
      <c r="G122" s="157">
        <f>F122/E122*100</f>
        <v>0</v>
      </c>
      <c r="H122" s="250" t="s">
        <v>55</v>
      </c>
      <c r="I122" s="289"/>
      <c r="K122" s="213"/>
      <c r="L122" s="214"/>
      <c r="M122" s="213"/>
      <c r="N122" s="213"/>
      <c r="O122" s="213"/>
      <c r="P122" s="213"/>
      <c r="Q122" s="213"/>
      <c r="R122" s="213"/>
      <c r="S122" s="213"/>
      <c r="T122" s="213"/>
      <c r="U122" s="213"/>
      <c r="V122" s="213"/>
      <c r="W122" s="213"/>
      <c r="X122" s="213"/>
      <c r="Y122" s="213"/>
      <c r="Z122" s="213"/>
      <c r="AA122" s="213"/>
      <c r="AB122" s="213"/>
      <c r="AC122" s="213"/>
      <c r="AD122" s="213"/>
      <c r="AE122" s="213"/>
      <c r="AF122" s="213"/>
      <c r="AG122" s="213"/>
      <c r="AH122" s="213"/>
      <c r="AI122" s="213"/>
      <c r="AJ122" s="213"/>
      <c r="AK122" s="213"/>
      <c r="AL122" s="213"/>
      <c r="AM122" s="213"/>
      <c r="AN122" s="213"/>
      <c r="AO122" s="213"/>
      <c r="AP122" s="213"/>
      <c r="AQ122" s="213"/>
      <c r="AR122" s="213"/>
      <c r="AS122" s="213"/>
      <c r="AT122" s="213"/>
      <c r="AU122" s="213"/>
      <c r="AV122" s="213"/>
      <c r="AW122" s="213"/>
      <c r="AX122" s="213"/>
      <c r="AY122" s="213"/>
      <c r="AZ122" s="213"/>
      <c r="BA122" s="213"/>
      <c r="BB122" s="213"/>
      <c r="BC122" s="213"/>
      <c r="BD122" s="213"/>
      <c r="BE122" s="213"/>
      <c r="BF122" s="213"/>
      <c r="BG122" s="213"/>
      <c r="BH122" s="213"/>
      <c r="BI122" s="213"/>
      <c r="BJ122" s="213"/>
      <c r="BK122" s="213"/>
      <c r="BL122" s="213"/>
      <c r="BM122" s="213"/>
      <c r="BN122" s="213"/>
    </row>
    <row r="123" spans="1:66" s="95" customFormat="1" ht="20.100000000000001" customHeight="1" x14ac:dyDescent="0.15">
      <c r="A123" s="73"/>
      <c r="B123" s="101"/>
      <c r="C123" s="359"/>
      <c r="D123" s="126"/>
      <c r="E123" s="126"/>
      <c r="F123" s="124"/>
      <c r="G123" s="180"/>
      <c r="H123" s="252" t="s">
        <v>125</v>
      </c>
      <c r="I123" s="290">
        <f>50000*4</f>
        <v>200000</v>
      </c>
      <c r="K123" s="213"/>
      <c r="L123" s="214"/>
      <c r="M123" s="213"/>
      <c r="N123" s="213"/>
      <c r="O123" s="213"/>
      <c r="P123" s="213"/>
      <c r="Q123" s="213"/>
      <c r="R123" s="213"/>
      <c r="S123" s="213"/>
      <c r="T123" s="213"/>
      <c r="U123" s="213"/>
      <c r="V123" s="213"/>
      <c r="W123" s="213"/>
      <c r="X123" s="213"/>
      <c r="Y123" s="213"/>
      <c r="Z123" s="213"/>
      <c r="AA123" s="213"/>
      <c r="AB123" s="213"/>
      <c r="AC123" s="213"/>
      <c r="AD123" s="213"/>
      <c r="AE123" s="213"/>
      <c r="AF123" s="213"/>
      <c r="AG123" s="213"/>
      <c r="AH123" s="213"/>
      <c r="AI123" s="213"/>
      <c r="AJ123" s="213"/>
      <c r="AK123" s="213"/>
      <c r="AL123" s="213"/>
      <c r="AM123" s="213"/>
      <c r="AN123" s="213"/>
      <c r="AO123" s="213"/>
      <c r="AP123" s="213"/>
      <c r="AQ123" s="213"/>
      <c r="AR123" s="213"/>
      <c r="AS123" s="213"/>
      <c r="AT123" s="213"/>
      <c r="AU123" s="213"/>
      <c r="AV123" s="213"/>
      <c r="AW123" s="213"/>
      <c r="AX123" s="213"/>
      <c r="AY123" s="213"/>
      <c r="AZ123" s="213"/>
      <c r="BA123" s="213"/>
      <c r="BB123" s="213"/>
      <c r="BC123" s="213"/>
      <c r="BD123" s="213"/>
      <c r="BE123" s="213"/>
      <c r="BF123" s="213"/>
      <c r="BG123" s="213"/>
      <c r="BH123" s="213"/>
      <c r="BI123" s="213"/>
      <c r="BJ123" s="213"/>
      <c r="BK123" s="213"/>
      <c r="BL123" s="213"/>
      <c r="BM123" s="213"/>
      <c r="BN123" s="213"/>
    </row>
    <row r="124" spans="1:66" s="95" customFormat="1" ht="20.100000000000001" customHeight="1" x14ac:dyDescent="0.15">
      <c r="A124" s="73"/>
      <c r="B124" s="74"/>
      <c r="C124" s="361" t="s">
        <v>96</v>
      </c>
      <c r="D124" s="118">
        <v>1104000</v>
      </c>
      <c r="E124" s="118">
        <f>I125+I127+I126</f>
        <v>754000</v>
      </c>
      <c r="F124" s="123">
        <f>E124-D124</f>
        <v>-350000</v>
      </c>
      <c r="G124" s="174">
        <f>F124/E124*100</f>
        <v>-46.419098143236077</v>
      </c>
      <c r="H124" s="250" t="s">
        <v>96</v>
      </c>
      <c r="I124" s="240"/>
      <c r="K124" s="213"/>
      <c r="L124" s="214"/>
      <c r="M124" s="213"/>
      <c r="N124" s="213"/>
      <c r="O124" s="213"/>
      <c r="P124" s="213"/>
      <c r="Q124" s="213"/>
      <c r="R124" s="213"/>
      <c r="S124" s="213"/>
      <c r="T124" s="213"/>
      <c r="U124" s="213"/>
      <c r="V124" s="213"/>
      <c r="W124" s="213"/>
      <c r="X124" s="213"/>
      <c r="Y124" s="213"/>
      <c r="Z124" s="213"/>
      <c r="AA124" s="213"/>
      <c r="AB124" s="213"/>
      <c r="AC124" s="213"/>
      <c r="AD124" s="213"/>
      <c r="AE124" s="213"/>
      <c r="AF124" s="213"/>
      <c r="AG124" s="213"/>
      <c r="AH124" s="213"/>
      <c r="AI124" s="213"/>
      <c r="AJ124" s="213"/>
      <c r="AK124" s="213"/>
      <c r="AL124" s="213"/>
      <c r="AM124" s="213"/>
      <c r="AN124" s="213"/>
      <c r="AO124" s="213"/>
      <c r="AP124" s="213"/>
      <c r="AQ124" s="213"/>
      <c r="AR124" s="213"/>
      <c r="AS124" s="213"/>
      <c r="AT124" s="213"/>
      <c r="AU124" s="213"/>
      <c r="AV124" s="213"/>
      <c r="AW124" s="213"/>
      <c r="AX124" s="213"/>
      <c r="AY124" s="213"/>
      <c r="AZ124" s="213"/>
      <c r="BA124" s="213"/>
      <c r="BB124" s="213"/>
      <c r="BC124" s="213"/>
      <c r="BD124" s="213"/>
      <c r="BE124" s="213"/>
      <c r="BF124" s="213"/>
      <c r="BG124" s="213"/>
      <c r="BH124" s="213"/>
      <c r="BI124" s="213"/>
      <c r="BJ124" s="213"/>
      <c r="BK124" s="213"/>
      <c r="BL124" s="213"/>
      <c r="BM124" s="213"/>
      <c r="BN124" s="213"/>
    </row>
    <row r="125" spans="1:66" s="95" customFormat="1" ht="20.100000000000001" customHeight="1" x14ac:dyDescent="0.15">
      <c r="A125" s="73"/>
      <c r="B125" s="74"/>
      <c r="C125" s="357"/>
      <c r="D125" s="119"/>
      <c r="E125" s="119"/>
      <c r="F125" s="120"/>
      <c r="G125" s="178"/>
      <c r="H125" s="239" t="s">
        <v>239</v>
      </c>
      <c r="I125" s="240">
        <f>50000*1</f>
        <v>50000</v>
      </c>
      <c r="K125" s="213"/>
      <c r="L125" s="214"/>
      <c r="M125" s="213"/>
      <c r="N125" s="213"/>
      <c r="O125" s="213"/>
      <c r="P125" s="213"/>
      <c r="Q125" s="213"/>
      <c r="R125" s="213"/>
      <c r="S125" s="213"/>
      <c r="T125" s="213"/>
      <c r="U125" s="213"/>
      <c r="V125" s="213"/>
      <c r="W125" s="213"/>
      <c r="X125" s="213"/>
      <c r="Y125" s="213"/>
      <c r="Z125" s="213"/>
      <c r="AA125" s="213"/>
      <c r="AB125" s="213"/>
      <c r="AC125" s="213"/>
      <c r="AD125" s="213"/>
      <c r="AE125" s="213"/>
      <c r="AF125" s="213"/>
      <c r="AG125" s="213"/>
      <c r="AH125" s="213"/>
      <c r="AI125" s="213"/>
      <c r="AJ125" s="213"/>
      <c r="AK125" s="213"/>
      <c r="AL125" s="213"/>
      <c r="AM125" s="213"/>
      <c r="AN125" s="213"/>
      <c r="AO125" s="213"/>
      <c r="AP125" s="213"/>
      <c r="AQ125" s="213"/>
      <c r="AR125" s="213"/>
      <c r="AS125" s="213"/>
      <c r="AT125" s="213"/>
      <c r="AU125" s="213"/>
      <c r="AV125" s="213"/>
      <c r="AW125" s="213"/>
      <c r="AX125" s="213"/>
      <c r="AY125" s="213"/>
      <c r="AZ125" s="213"/>
      <c r="BA125" s="213"/>
      <c r="BB125" s="213"/>
      <c r="BC125" s="213"/>
      <c r="BD125" s="213"/>
      <c r="BE125" s="213"/>
      <c r="BF125" s="213"/>
      <c r="BG125" s="213"/>
      <c r="BH125" s="213"/>
      <c r="BI125" s="213"/>
      <c r="BJ125" s="213"/>
      <c r="BK125" s="213"/>
      <c r="BL125" s="213"/>
      <c r="BM125" s="213"/>
      <c r="BN125" s="213"/>
    </row>
    <row r="126" spans="1:66" s="95" customFormat="1" ht="20.100000000000001" customHeight="1" x14ac:dyDescent="0.15">
      <c r="A126" s="73"/>
      <c r="B126" s="74"/>
      <c r="C126" s="225"/>
      <c r="D126" s="119"/>
      <c r="E126" s="119"/>
      <c r="F126" s="120"/>
      <c r="G126" s="178"/>
      <c r="H126" s="239" t="s">
        <v>240</v>
      </c>
      <c r="I126" s="240">
        <f>50000*10</f>
        <v>500000</v>
      </c>
      <c r="K126" s="213"/>
      <c r="L126" s="214"/>
      <c r="M126" s="213"/>
      <c r="N126" s="213"/>
      <c r="O126" s="213"/>
      <c r="P126" s="213"/>
      <c r="Q126" s="213"/>
      <c r="R126" s="213"/>
      <c r="S126" s="213"/>
      <c r="T126" s="213"/>
      <c r="U126" s="213"/>
      <c r="V126" s="213"/>
      <c r="W126" s="213"/>
      <c r="X126" s="213"/>
      <c r="Y126" s="213"/>
      <c r="Z126" s="213"/>
      <c r="AA126" s="213"/>
      <c r="AB126" s="213"/>
      <c r="AC126" s="213"/>
      <c r="AD126" s="213"/>
      <c r="AE126" s="213"/>
      <c r="AF126" s="213"/>
      <c r="AG126" s="213"/>
      <c r="AH126" s="213"/>
      <c r="AI126" s="213"/>
      <c r="AJ126" s="213"/>
      <c r="AK126" s="213"/>
      <c r="AL126" s="213"/>
      <c r="AM126" s="213"/>
      <c r="AN126" s="213"/>
      <c r="AO126" s="213"/>
      <c r="AP126" s="213"/>
      <c r="AQ126" s="213"/>
      <c r="AR126" s="213"/>
      <c r="AS126" s="213"/>
      <c r="AT126" s="213"/>
      <c r="AU126" s="213"/>
      <c r="AV126" s="213"/>
      <c r="AW126" s="213"/>
      <c r="AX126" s="213"/>
      <c r="AY126" s="213"/>
      <c r="AZ126" s="213"/>
      <c r="BA126" s="213"/>
      <c r="BB126" s="213"/>
      <c r="BC126" s="213"/>
      <c r="BD126" s="213"/>
      <c r="BE126" s="213"/>
      <c r="BF126" s="213"/>
      <c r="BG126" s="213"/>
      <c r="BH126" s="213"/>
      <c r="BI126" s="213"/>
      <c r="BJ126" s="213"/>
      <c r="BK126" s="213"/>
      <c r="BL126" s="213"/>
      <c r="BM126" s="213"/>
      <c r="BN126" s="213"/>
    </row>
    <row r="127" spans="1:66" s="95" customFormat="1" ht="20.100000000000001" customHeight="1" x14ac:dyDescent="0.15">
      <c r="A127" s="104"/>
      <c r="B127" s="74"/>
      <c r="C127" s="293"/>
      <c r="D127" s="119"/>
      <c r="E127" s="119"/>
      <c r="F127" s="120"/>
      <c r="G127" s="178"/>
      <c r="H127" s="239" t="s">
        <v>137</v>
      </c>
      <c r="I127" s="242">
        <f>51000*4</f>
        <v>204000</v>
      </c>
      <c r="K127" s="213"/>
      <c r="L127" s="214"/>
      <c r="M127" s="213"/>
      <c r="N127" s="213"/>
      <c r="O127" s="213"/>
      <c r="P127" s="213"/>
      <c r="Q127" s="213"/>
      <c r="R127" s="213"/>
      <c r="S127" s="213"/>
      <c r="T127" s="213"/>
      <c r="U127" s="213"/>
      <c r="V127" s="213"/>
      <c r="W127" s="213"/>
      <c r="X127" s="213"/>
      <c r="Y127" s="213"/>
      <c r="Z127" s="213"/>
      <c r="AA127" s="213"/>
      <c r="AB127" s="213"/>
      <c r="AC127" s="213"/>
      <c r="AD127" s="213"/>
      <c r="AE127" s="213"/>
      <c r="AF127" s="213"/>
      <c r="AG127" s="213"/>
      <c r="AH127" s="213"/>
      <c r="AI127" s="213"/>
      <c r="AJ127" s="213"/>
      <c r="AK127" s="213"/>
      <c r="AL127" s="213"/>
      <c r="AM127" s="213"/>
      <c r="AN127" s="213"/>
      <c r="AO127" s="213"/>
      <c r="AP127" s="213"/>
      <c r="AQ127" s="213"/>
      <c r="AR127" s="213"/>
      <c r="AS127" s="213"/>
      <c r="AT127" s="213"/>
      <c r="AU127" s="213"/>
      <c r="AV127" s="213"/>
      <c r="AW127" s="213"/>
      <c r="AX127" s="213"/>
      <c r="AY127" s="213"/>
      <c r="AZ127" s="213"/>
      <c r="BA127" s="213"/>
      <c r="BB127" s="213"/>
      <c r="BC127" s="213"/>
      <c r="BD127" s="213"/>
      <c r="BE127" s="213"/>
      <c r="BF127" s="213"/>
      <c r="BG127" s="213"/>
      <c r="BH127" s="213"/>
      <c r="BI127" s="213"/>
      <c r="BJ127" s="213"/>
      <c r="BK127" s="213"/>
      <c r="BL127" s="213"/>
      <c r="BM127" s="213"/>
      <c r="BN127" s="213"/>
    </row>
    <row r="128" spans="1:66" s="95" customFormat="1" ht="20.100000000000001" customHeight="1" x14ac:dyDescent="0.15">
      <c r="A128" s="104"/>
      <c r="B128" s="74"/>
      <c r="C128" s="358" t="s">
        <v>97</v>
      </c>
      <c r="D128" s="118">
        <v>8005930</v>
      </c>
      <c r="E128" s="118">
        <f>I129+I130+I133+I134+I135+I138+I131+I132+I136+I137</f>
        <v>5797380</v>
      </c>
      <c r="F128" s="123">
        <f>E128-D128</f>
        <v>-2208550</v>
      </c>
      <c r="G128" s="174">
        <f>F128/E128*100</f>
        <v>-38.095657003680969</v>
      </c>
      <c r="H128" s="246" t="s">
        <v>97</v>
      </c>
      <c r="I128" s="240"/>
      <c r="K128" s="213"/>
      <c r="L128" s="214"/>
      <c r="M128" s="213"/>
      <c r="N128" s="213"/>
      <c r="O128" s="213"/>
      <c r="P128" s="213"/>
      <c r="Q128" s="213"/>
      <c r="R128" s="213"/>
      <c r="S128" s="213"/>
      <c r="T128" s="213"/>
      <c r="U128" s="213"/>
      <c r="V128" s="213"/>
      <c r="W128" s="213"/>
      <c r="X128" s="213"/>
      <c r="Y128" s="213"/>
      <c r="Z128" s="213"/>
      <c r="AA128" s="213"/>
      <c r="AB128" s="213"/>
      <c r="AC128" s="213"/>
      <c r="AD128" s="213"/>
      <c r="AE128" s="213"/>
      <c r="AF128" s="213"/>
      <c r="AG128" s="213"/>
      <c r="AH128" s="213"/>
      <c r="AI128" s="213"/>
      <c r="AJ128" s="213"/>
      <c r="AK128" s="213"/>
      <c r="AL128" s="213"/>
      <c r="AM128" s="213"/>
      <c r="AN128" s="213"/>
      <c r="AO128" s="213"/>
      <c r="AP128" s="213"/>
      <c r="AQ128" s="213"/>
      <c r="AR128" s="213"/>
      <c r="AS128" s="213"/>
      <c r="AT128" s="213"/>
      <c r="AU128" s="213"/>
      <c r="AV128" s="213"/>
      <c r="AW128" s="213"/>
      <c r="AX128" s="213"/>
      <c r="AY128" s="213"/>
      <c r="AZ128" s="213"/>
      <c r="BA128" s="213"/>
      <c r="BB128" s="213"/>
      <c r="BC128" s="213"/>
      <c r="BD128" s="213"/>
      <c r="BE128" s="213"/>
      <c r="BF128" s="213"/>
      <c r="BG128" s="213"/>
      <c r="BH128" s="213"/>
      <c r="BI128" s="213"/>
      <c r="BJ128" s="213"/>
      <c r="BK128" s="213"/>
      <c r="BL128" s="213"/>
      <c r="BM128" s="213"/>
      <c r="BN128" s="213"/>
    </row>
    <row r="129" spans="1:66" s="95" customFormat="1" ht="20.100000000000001" customHeight="1" x14ac:dyDescent="0.15">
      <c r="A129" s="104"/>
      <c r="B129" s="74"/>
      <c r="C129" s="360"/>
      <c r="D129" s="119"/>
      <c r="E129" s="119"/>
      <c r="F129" s="128"/>
      <c r="G129" s="178"/>
      <c r="H129" s="261" t="s">
        <v>144</v>
      </c>
      <c r="I129" s="240">
        <f>50000*12</f>
        <v>600000</v>
      </c>
      <c r="K129" s="213"/>
      <c r="L129" s="214"/>
      <c r="M129" s="213"/>
      <c r="N129" s="213"/>
      <c r="O129" s="213"/>
      <c r="P129" s="213"/>
      <c r="Q129" s="213"/>
      <c r="R129" s="213"/>
      <c r="S129" s="213"/>
      <c r="T129" s="213"/>
      <c r="U129" s="213"/>
      <c r="V129" s="213"/>
      <c r="W129" s="213"/>
      <c r="X129" s="213"/>
      <c r="Y129" s="213"/>
      <c r="Z129" s="213"/>
      <c r="AA129" s="213"/>
      <c r="AB129" s="213"/>
      <c r="AC129" s="213"/>
      <c r="AD129" s="213"/>
      <c r="AE129" s="213"/>
      <c r="AF129" s="213"/>
      <c r="AG129" s="213"/>
      <c r="AH129" s="213"/>
      <c r="AI129" s="213"/>
      <c r="AJ129" s="213"/>
      <c r="AK129" s="213"/>
      <c r="AL129" s="213"/>
      <c r="AM129" s="213"/>
      <c r="AN129" s="213"/>
      <c r="AO129" s="213"/>
      <c r="AP129" s="213"/>
      <c r="AQ129" s="213"/>
      <c r="AR129" s="213"/>
      <c r="AS129" s="213"/>
      <c r="AT129" s="213"/>
      <c r="AU129" s="213"/>
      <c r="AV129" s="213"/>
      <c r="AW129" s="213"/>
      <c r="AX129" s="213"/>
      <c r="AY129" s="213"/>
      <c r="AZ129" s="213"/>
      <c r="BA129" s="213"/>
      <c r="BB129" s="213"/>
      <c r="BC129" s="213"/>
      <c r="BD129" s="213"/>
      <c r="BE129" s="213"/>
      <c r="BF129" s="213"/>
      <c r="BG129" s="213"/>
      <c r="BH129" s="213"/>
      <c r="BI129" s="213"/>
      <c r="BJ129" s="213"/>
      <c r="BK129" s="213"/>
      <c r="BL129" s="213"/>
      <c r="BM129" s="213"/>
      <c r="BN129" s="213"/>
    </row>
    <row r="130" spans="1:66" s="95" customFormat="1" ht="20.100000000000001" customHeight="1" x14ac:dyDescent="0.15">
      <c r="A130" s="73"/>
      <c r="B130" s="74"/>
      <c r="C130" s="270"/>
      <c r="D130" s="119"/>
      <c r="E130" s="119"/>
      <c r="F130" s="128"/>
      <c r="G130" s="178"/>
      <c r="H130" s="261" t="s">
        <v>165</v>
      </c>
      <c r="I130" s="240">
        <f>230800*1</f>
        <v>230800</v>
      </c>
      <c r="K130" s="213"/>
      <c r="L130" s="214"/>
      <c r="M130" s="213"/>
      <c r="N130" s="213"/>
      <c r="O130" s="213"/>
      <c r="P130" s="213"/>
      <c r="Q130" s="213"/>
      <c r="R130" s="213"/>
      <c r="S130" s="213"/>
      <c r="T130" s="213"/>
      <c r="U130" s="213"/>
      <c r="V130" s="213"/>
      <c r="W130" s="213"/>
      <c r="X130" s="213"/>
      <c r="Y130" s="213"/>
      <c r="Z130" s="213"/>
      <c r="AA130" s="213"/>
      <c r="AB130" s="213"/>
      <c r="AC130" s="213"/>
      <c r="AD130" s="213"/>
      <c r="AE130" s="213"/>
      <c r="AF130" s="213"/>
      <c r="AG130" s="213"/>
      <c r="AH130" s="213"/>
      <c r="AI130" s="213"/>
      <c r="AJ130" s="213"/>
      <c r="AK130" s="213"/>
      <c r="AL130" s="213"/>
      <c r="AM130" s="213"/>
      <c r="AN130" s="213"/>
      <c r="AO130" s="213"/>
      <c r="AP130" s="213"/>
      <c r="AQ130" s="213"/>
      <c r="AR130" s="213"/>
      <c r="AS130" s="213"/>
      <c r="AT130" s="213"/>
      <c r="AU130" s="213"/>
      <c r="AV130" s="213"/>
      <c r="AW130" s="213"/>
      <c r="AX130" s="213"/>
      <c r="AY130" s="213"/>
      <c r="AZ130" s="213"/>
      <c r="BA130" s="213"/>
      <c r="BB130" s="213"/>
      <c r="BC130" s="213"/>
      <c r="BD130" s="213"/>
      <c r="BE130" s="213"/>
      <c r="BF130" s="213"/>
      <c r="BG130" s="213"/>
      <c r="BH130" s="213"/>
      <c r="BI130" s="213"/>
      <c r="BJ130" s="213"/>
      <c r="BK130" s="213"/>
      <c r="BL130" s="213"/>
      <c r="BM130" s="213"/>
      <c r="BN130" s="213"/>
    </row>
    <row r="131" spans="1:66" s="95" customFormat="1" ht="20.100000000000001" customHeight="1" x14ac:dyDescent="0.15">
      <c r="A131" s="73"/>
      <c r="B131" s="74"/>
      <c r="C131" s="270"/>
      <c r="D131" s="119"/>
      <c r="E131" s="119"/>
      <c r="F131" s="128"/>
      <c r="G131" s="178"/>
      <c r="H131" s="261" t="s">
        <v>207</v>
      </c>
      <c r="I131" s="240">
        <f>807200*2</f>
        <v>1614400</v>
      </c>
      <c r="J131" s="81"/>
      <c r="K131" s="213"/>
      <c r="L131" s="214"/>
      <c r="M131" s="213"/>
      <c r="N131" s="213"/>
      <c r="O131" s="213"/>
      <c r="P131" s="213"/>
      <c r="Q131" s="213"/>
      <c r="R131" s="213"/>
      <c r="S131" s="213"/>
      <c r="T131" s="213"/>
      <c r="U131" s="213"/>
      <c r="V131" s="213"/>
      <c r="W131" s="213"/>
      <c r="X131" s="213"/>
      <c r="Y131" s="213"/>
      <c r="Z131" s="213"/>
      <c r="AA131" s="213"/>
      <c r="AB131" s="213"/>
      <c r="AC131" s="213"/>
      <c r="AD131" s="213"/>
      <c r="AE131" s="213"/>
      <c r="AF131" s="213"/>
      <c r="AG131" s="213"/>
      <c r="AH131" s="213"/>
      <c r="AI131" s="213"/>
      <c r="AJ131" s="213"/>
      <c r="AK131" s="213"/>
      <c r="AL131" s="213"/>
      <c r="AM131" s="213"/>
      <c r="AN131" s="213"/>
      <c r="AO131" s="213"/>
      <c r="AP131" s="213"/>
      <c r="AQ131" s="213"/>
      <c r="AR131" s="213"/>
      <c r="AS131" s="213"/>
      <c r="AT131" s="213"/>
      <c r="AU131" s="213"/>
      <c r="AV131" s="213"/>
      <c r="AW131" s="213"/>
      <c r="AX131" s="213"/>
      <c r="AY131" s="213"/>
      <c r="AZ131" s="213"/>
      <c r="BA131" s="213"/>
      <c r="BB131" s="213"/>
      <c r="BC131" s="213"/>
      <c r="BD131" s="213"/>
      <c r="BE131" s="213"/>
      <c r="BF131" s="213"/>
      <c r="BG131" s="213"/>
      <c r="BH131" s="213"/>
      <c r="BI131" s="213"/>
      <c r="BJ131" s="213"/>
      <c r="BK131" s="213"/>
      <c r="BL131" s="213"/>
      <c r="BM131" s="213"/>
      <c r="BN131" s="213"/>
    </row>
    <row r="132" spans="1:66" s="95" customFormat="1" ht="20.100000000000001" customHeight="1" x14ac:dyDescent="0.15">
      <c r="A132" s="73"/>
      <c r="B132" s="74"/>
      <c r="C132" s="270"/>
      <c r="D132" s="119"/>
      <c r="E132" s="119"/>
      <c r="F132" s="128"/>
      <c r="G132" s="178"/>
      <c r="H132" s="261" t="s">
        <v>145</v>
      </c>
      <c r="I132" s="240">
        <f>150000*2</f>
        <v>300000</v>
      </c>
      <c r="K132" s="213"/>
      <c r="L132" s="214"/>
      <c r="M132" s="213"/>
      <c r="N132" s="213"/>
      <c r="O132" s="213"/>
      <c r="P132" s="213"/>
      <c r="Q132" s="213"/>
      <c r="R132" s="213"/>
      <c r="S132" s="213"/>
      <c r="T132" s="213"/>
      <c r="U132" s="213"/>
      <c r="V132" s="213"/>
      <c r="W132" s="213"/>
      <c r="X132" s="213"/>
      <c r="Y132" s="213"/>
      <c r="Z132" s="213"/>
      <c r="AA132" s="213"/>
      <c r="AB132" s="213"/>
      <c r="AC132" s="213"/>
      <c r="AD132" s="213"/>
      <c r="AE132" s="213"/>
      <c r="AF132" s="213"/>
      <c r="AG132" s="213"/>
      <c r="AH132" s="213"/>
      <c r="AI132" s="213"/>
      <c r="AJ132" s="213"/>
      <c r="AK132" s="213"/>
      <c r="AL132" s="213"/>
      <c r="AM132" s="213"/>
      <c r="AN132" s="213"/>
      <c r="AO132" s="213"/>
      <c r="AP132" s="213"/>
      <c r="AQ132" s="213"/>
      <c r="AR132" s="213"/>
      <c r="AS132" s="213"/>
      <c r="AT132" s="213"/>
      <c r="AU132" s="213"/>
      <c r="AV132" s="213"/>
      <c r="AW132" s="213"/>
      <c r="AX132" s="213"/>
      <c r="AY132" s="213"/>
      <c r="AZ132" s="213"/>
      <c r="BA132" s="213"/>
      <c r="BB132" s="213"/>
      <c r="BC132" s="213"/>
      <c r="BD132" s="213"/>
      <c r="BE132" s="213"/>
      <c r="BF132" s="213"/>
      <c r="BG132" s="213"/>
      <c r="BH132" s="213"/>
      <c r="BI132" s="213"/>
      <c r="BJ132" s="213"/>
      <c r="BK132" s="213"/>
      <c r="BL132" s="213"/>
      <c r="BM132" s="213"/>
      <c r="BN132" s="213"/>
    </row>
    <row r="133" spans="1:66" s="95" customFormat="1" ht="20.100000000000001" customHeight="1" x14ac:dyDescent="0.15">
      <c r="A133" s="73"/>
      <c r="B133" s="74"/>
      <c r="C133" s="270"/>
      <c r="D133" s="119"/>
      <c r="E133" s="119"/>
      <c r="F133" s="128"/>
      <c r="G133" s="178"/>
      <c r="H133" s="261" t="s">
        <v>185</v>
      </c>
      <c r="I133" s="240">
        <f>480000*2</f>
        <v>960000</v>
      </c>
      <c r="K133" s="213"/>
      <c r="L133" s="214"/>
      <c r="M133" s="213"/>
      <c r="N133" s="213"/>
      <c r="O133" s="213"/>
      <c r="P133" s="213"/>
      <c r="Q133" s="213"/>
      <c r="R133" s="213"/>
      <c r="S133" s="213"/>
      <c r="T133" s="213"/>
      <c r="U133" s="213"/>
      <c r="V133" s="213"/>
      <c r="W133" s="213"/>
      <c r="X133" s="213"/>
      <c r="Y133" s="213"/>
      <c r="Z133" s="213"/>
      <c r="AA133" s="213"/>
      <c r="AB133" s="213"/>
      <c r="AC133" s="213"/>
      <c r="AD133" s="213"/>
      <c r="AE133" s="213"/>
      <c r="AF133" s="213"/>
      <c r="AG133" s="213"/>
      <c r="AH133" s="213"/>
      <c r="AI133" s="213"/>
      <c r="AJ133" s="213"/>
      <c r="AK133" s="213"/>
      <c r="AL133" s="213"/>
      <c r="AM133" s="213"/>
      <c r="AN133" s="213"/>
      <c r="AO133" s="213"/>
      <c r="AP133" s="213"/>
      <c r="AQ133" s="213"/>
      <c r="AR133" s="213"/>
      <c r="AS133" s="213"/>
      <c r="AT133" s="213"/>
      <c r="AU133" s="213"/>
      <c r="AV133" s="213"/>
      <c r="AW133" s="213"/>
      <c r="AX133" s="213"/>
      <c r="AY133" s="213"/>
      <c r="AZ133" s="213"/>
      <c r="BA133" s="213"/>
      <c r="BB133" s="213"/>
      <c r="BC133" s="213"/>
      <c r="BD133" s="213"/>
      <c r="BE133" s="213"/>
      <c r="BF133" s="213"/>
      <c r="BG133" s="213"/>
      <c r="BH133" s="213"/>
      <c r="BI133" s="213"/>
      <c r="BJ133" s="213"/>
      <c r="BK133" s="213"/>
      <c r="BL133" s="213"/>
      <c r="BM133" s="213"/>
      <c r="BN133" s="213"/>
    </row>
    <row r="134" spans="1:66" s="95" customFormat="1" ht="20.100000000000001" customHeight="1" x14ac:dyDescent="0.15">
      <c r="A134" s="73"/>
      <c r="B134" s="74"/>
      <c r="C134" s="270"/>
      <c r="D134" s="119"/>
      <c r="E134" s="119"/>
      <c r="F134" s="128"/>
      <c r="G134" s="178"/>
      <c r="H134" s="261" t="s">
        <v>184</v>
      </c>
      <c r="I134" s="240">
        <f>10700*44*1</f>
        <v>470800</v>
      </c>
      <c r="K134" s="213"/>
      <c r="L134" s="214"/>
      <c r="M134" s="213"/>
      <c r="N134" s="213"/>
      <c r="O134" s="213"/>
      <c r="P134" s="213"/>
      <c r="Q134" s="213"/>
      <c r="R134" s="213"/>
      <c r="S134" s="213"/>
      <c r="T134" s="213"/>
      <c r="U134" s="213"/>
      <c r="V134" s="213"/>
      <c r="W134" s="213"/>
      <c r="X134" s="213"/>
      <c r="Y134" s="213"/>
      <c r="Z134" s="213"/>
      <c r="AA134" s="213"/>
      <c r="AB134" s="213"/>
      <c r="AC134" s="213"/>
      <c r="AD134" s="213"/>
      <c r="AE134" s="213"/>
      <c r="AF134" s="213"/>
      <c r="AG134" s="213"/>
      <c r="AH134" s="213"/>
      <c r="AI134" s="213"/>
      <c r="AJ134" s="213"/>
      <c r="AK134" s="213"/>
      <c r="AL134" s="213"/>
      <c r="AM134" s="213"/>
      <c r="AN134" s="213"/>
      <c r="AO134" s="213"/>
      <c r="AP134" s="213"/>
      <c r="AQ134" s="213"/>
      <c r="AR134" s="213"/>
      <c r="AS134" s="213"/>
      <c r="AT134" s="213"/>
      <c r="AU134" s="213"/>
      <c r="AV134" s="213"/>
      <c r="AW134" s="213"/>
      <c r="AX134" s="213"/>
      <c r="AY134" s="213"/>
      <c r="AZ134" s="213"/>
      <c r="BA134" s="213"/>
      <c r="BB134" s="213"/>
      <c r="BC134" s="213"/>
      <c r="BD134" s="213"/>
      <c r="BE134" s="213"/>
      <c r="BF134" s="213"/>
      <c r="BG134" s="213"/>
      <c r="BH134" s="213"/>
      <c r="BI134" s="213"/>
      <c r="BJ134" s="213"/>
      <c r="BK134" s="213"/>
      <c r="BL134" s="213"/>
      <c r="BM134" s="213"/>
      <c r="BN134" s="213"/>
    </row>
    <row r="135" spans="1:66" s="95" customFormat="1" ht="20.100000000000001" customHeight="1" x14ac:dyDescent="0.15">
      <c r="A135" s="73"/>
      <c r="B135" s="74"/>
      <c r="C135" s="270"/>
      <c r="D135" s="119"/>
      <c r="E135" s="119"/>
      <c r="F135" s="128"/>
      <c r="G135" s="178"/>
      <c r="H135" s="261" t="s">
        <v>206</v>
      </c>
      <c r="I135" s="240">
        <f>185600*1</f>
        <v>185600</v>
      </c>
      <c r="K135" s="213"/>
      <c r="L135" s="214"/>
      <c r="M135" s="213"/>
      <c r="N135" s="213"/>
      <c r="O135" s="213"/>
      <c r="P135" s="213"/>
      <c r="Q135" s="213"/>
      <c r="R135" s="213"/>
      <c r="S135" s="213"/>
      <c r="T135" s="213"/>
      <c r="U135" s="213"/>
      <c r="V135" s="213"/>
      <c r="W135" s="213"/>
      <c r="X135" s="213"/>
      <c r="Y135" s="213"/>
      <c r="Z135" s="213"/>
      <c r="AA135" s="213"/>
      <c r="AB135" s="213"/>
      <c r="AC135" s="213"/>
      <c r="AD135" s="213"/>
      <c r="AE135" s="213"/>
      <c r="AF135" s="213"/>
      <c r="AG135" s="213"/>
      <c r="AH135" s="213"/>
      <c r="AI135" s="213"/>
      <c r="AJ135" s="213"/>
      <c r="AK135" s="213"/>
      <c r="AL135" s="213"/>
      <c r="AM135" s="213"/>
      <c r="AN135" s="213"/>
      <c r="AO135" s="213"/>
      <c r="AP135" s="213"/>
      <c r="AQ135" s="213"/>
      <c r="AR135" s="213"/>
      <c r="AS135" s="213"/>
      <c r="AT135" s="213"/>
      <c r="AU135" s="213"/>
      <c r="AV135" s="213"/>
      <c r="AW135" s="213"/>
      <c r="AX135" s="213"/>
      <c r="AY135" s="213"/>
      <c r="AZ135" s="213"/>
      <c r="BA135" s="213"/>
      <c r="BB135" s="213"/>
      <c r="BC135" s="213"/>
      <c r="BD135" s="213"/>
      <c r="BE135" s="213"/>
      <c r="BF135" s="213"/>
      <c r="BG135" s="213"/>
      <c r="BH135" s="213"/>
      <c r="BI135" s="213"/>
      <c r="BJ135" s="213"/>
      <c r="BK135" s="213"/>
      <c r="BL135" s="213"/>
      <c r="BM135" s="213"/>
      <c r="BN135" s="213"/>
    </row>
    <row r="136" spans="1:66" s="95" customFormat="1" ht="20.100000000000001" customHeight="1" x14ac:dyDescent="0.15">
      <c r="A136" s="73"/>
      <c r="B136" s="74"/>
      <c r="C136" s="270"/>
      <c r="D136" s="119"/>
      <c r="E136" s="119"/>
      <c r="F136" s="128"/>
      <c r="G136" s="178"/>
      <c r="H136" s="261" t="s">
        <v>244</v>
      </c>
      <c r="I136" s="240">
        <f>141450</f>
        <v>141450</v>
      </c>
      <c r="K136" s="213"/>
      <c r="L136" s="214"/>
      <c r="M136" s="213"/>
      <c r="N136" s="213"/>
      <c r="O136" s="213"/>
      <c r="P136" s="213"/>
      <c r="Q136" s="213"/>
      <c r="R136" s="213"/>
      <c r="S136" s="213"/>
      <c r="T136" s="213"/>
      <c r="U136" s="213"/>
      <c r="V136" s="213"/>
      <c r="W136" s="213"/>
      <c r="X136" s="213"/>
      <c r="Y136" s="213"/>
      <c r="Z136" s="213"/>
      <c r="AA136" s="213"/>
      <c r="AB136" s="213"/>
      <c r="AC136" s="213"/>
      <c r="AD136" s="213"/>
      <c r="AE136" s="213"/>
      <c r="AF136" s="213"/>
      <c r="AG136" s="213"/>
      <c r="AH136" s="213"/>
      <c r="AI136" s="213"/>
      <c r="AJ136" s="213"/>
      <c r="AK136" s="213"/>
      <c r="AL136" s="213"/>
      <c r="AM136" s="213"/>
      <c r="AN136" s="213"/>
      <c r="AO136" s="213"/>
      <c r="AP136" s="213"/>
      <c r="AQ136" s="213"/>
      <c r="AR136" s="213"/>
      <c r="AS136" s="213"/>
      <c r="AT136" s="213"/>
      <c r="AU136" s="213"/>
      <c r="AV136" s="213"/>
      <c r="AW136" s="213"/>
      <c r="AX136" s="213"/>
      <c r="AY136" s="213"/>
      <c r="AZ136" s="213"/>
      <c r="BA136" s="213"/>
      <c r="BB136" s="213"/>
      <c r="BC136" s="213"/>
      <c r="BD136" s="213"/>
      <c r="BE136" s="213"/>
      <c r="BF136" s="213"/>
      <c r="BG136" s="213"/>
      <c r="BH136" s="213"/>
      <c r="BI136" s="213"/>
      <c r="BJ136" s="213"/>
      <c r="BK136" s="213"/>
      <c r="BL136" s="213"/>
      <c r="BM136" s="213"/>
      <c r="BN136" s="213"/>
    </row>
    <row r="137" spans="1:66" s="95" customFormat="1" ht="20.100000000000001" customHeight="1" x14ac:dyDescent="0.15">
      <c r="A137" s="73"/>
      <c r="B137" s="74"/>
      <c r="C137" s="270"/>
      <c r="D137" s="119"/>
      <c r="E137" s="119"/>
      <c r="F137" s="128"/>
      <c r="G137" s="178"/>
      <c r="H137" s="261" t="s">
        <v>191</v>
      </c>
      <c r="I137" s="240">
        <f>994330*1</f>
        <v>994330</v>
      </c>
      <c r="K137" s="213"/>
      <c r="L137" s="214"/>
      <c r="M137" s="213"/>
      <c r="N137" s="213"/>
      <c r="O137" s="213"/>
      <c r="P137" s="213"/>
      <c r="Q137" s="213"/>
      <c r="R137" s="213"/>
      <c r="S137" s="213"/>
      <c r="T137" s="213"/>
      <c r="U137" s="213"/>
      <c r="V137" s="213"/>
      <c r="W137" s="213"/>
      <c r="X137" s="213"/>
      <c r="Y137" s="213"/>
      <c r="Z137" s="213"/>
      <c r="AA137" s="213"/>
      <c r="AB137" s="213"/>
      <c r="AC137" s="213"/>
      <c r="AD137" s="213"/>
      <c r="AE137" s="213"/>
      <c r="AF137" s="213"/>
      <c r="AG137" s="213"/>
      <c r="AH137" s="213"/>
      <c r="AI137" s="213"/>
      <c r="AJ137" s="213"/>
      <c r="AK137" s="213"/>
      <c r="AL137" s="213"/>
      <c r="AM137" s="213"/>
      <c r="AN137" s="213"/>
      <c r="AO137" s="213"/>
      <c r="AP137" s="213"/>
      <c r="AQ137" s="213"/>
      <c r="AR137" s="213"/>
      <c r="AS137" s="213"/>
      <c r="AT137" s="213"/>
      <c r="AU137" s="213"/>
      <c r="AV137" s="213"/>
      <c r="AW137" s="213"/>
      <c r="AX137" s="213"/>
      <c r="AY137" s="213"/>
      <c r="AZ137" s="213"/>
      <c r="BA137" s="213"/>
      <c r="BB137" s="213"/>
      <c r="BC137" s="213"/>
      <c r="BD137" s="213"/>
      <c r="BE137" s="213"/>
      <c r="BF137" s="213"/>
      <c r="BG137" s="213"/>
      <c r="BH137" s="213"/>
      <c r="BI137" s="213"/>
      <c r="BJ137" s="213"/>
      <c r="BK137" s="213"/>
      <c r="BL137" s="213"/>
      <c r="BM137" s="213"/>
      <c r="BN137" s="213"/>
    </row>
    <row r="138" spans="1:66" s="95" customFormat="1" ht="20.100000000000001" customHeight="1" x14ac:dyDescent="0.15">
      <c r="A138" s="108"/>
      <c r="B138" s="109"/>
      <c r="C138" s="295"/>
      <c r="D138" s="121"/>
      <c r="E138" s="121"/>
      <c r="F138" s="122"/>
      <c r="G138" s="177"/>
      <c r="H138" s="296" t="s">
        <v>154</v>
      </c>
      <c r="I138" s="241">
        <f>150000*2</f>
        <v>300000</v>
      </c>
      <c r="K138" s="213"/>
      <c r="L138" s="214"/>
      <c r="M138" s="213"/>
      <c r="N138" s="213"/>
      <c r="O138" s="213"/>
      <c r="P138" s="213"/>
      <c r="Q138" s="213"/>
      <c r="R138" s="213"/>
      <c r="S138" s="213"/>
      <c r="T138" s="213"/>
      <c r="U138" s="213"/>
      <c r="V138" s="213"/>
      <c r="W138" s="213"/>
      <c r="X138" s="213"/>
      <c r="Y138" s="213"/>
      <c r="Z138" s="213"/>
      <c r="AA138" s="213"/>
      <c r="AB138" s="213"/>
      <c r="AC138" s="213"/>
      <c r="AD138" s="213"/>
      <c r="AE138" s="213"/>
      <c r="AF138" s="213"/>
      <c r="AG138" s="213"/>
      <c r="AH138" s="213"/>
      <c r="AI138" s="213"/>
      <c r="AJ138" s="213"/>
      <c r="AK138" s="213"/>
      <c r="AL138" s="213"/>
      <c r="AM138" s="213"/>
      <c r="AN138" s="213"/>
      <c r="AO138" s="213"/>
      <c r="AP138" s="213"/>
      <c r="AQ138" s="213"/>
      <c r="AR138" s="213"/>
      <c r="AS138" s="213"/>
      <c r="AT138" s="213"/>
      <c r="AU138" s="213"/>
      <c r="AV138" s="213"/>
      <c r="AW138" s="213"/>
      <c r="AX138" s="213"/>
      <c r="AY138" s="213"/>
      <c r="AZ138" s="213"/>
      <c r="BA138" s="213"/>
      <c r="BB138" s="213"/>
      <c r="BC138" s="213"/>
      <c r="BD138" s="213"/>
      <c r="BE138" s="213"/>
      <c r="BF138" s="213"/>
      <c r="BG138" s="213"/>
      <c r="BH138" s="213"/>
      <c r="BI138" s="213"/>
      <c r="BJ138" s="213"/>
      <c r="BK138" s="213"/>
      <c r="BL138" s="213"/>
      <c r="BM138" s="213"/>
      <c r="BN138" s="213"/>
    </row>
    <row r="139" spans="1:66" s="95" customFormat="1" ht="19.5" customHeight="1" x14ac:dyDescent="0.15">
      <c r="A139" s="73"/>
      <c r="B139" s="74"/>
      <c r="C139" s="351" t="s">
        <v>98</v>
      </c>
      <c r="D139" s="119">
        <v>800000</v>
      </c>
      <c r="E139" s="119">
        <f>I140</f>
        <v>1800000</v>
      </c>
      <c r="F139" s="128">
        <f>E139-D139</f>
        <v>1000000</v>
      </c>
      <c r="G139" s="156">
        <f>F139/E139*100</f>
        <v>55.555555555555557</v>
      </c>
      <c r="H139" s="261" t="s">
        <v>56</v>
      </c>
      <c r="I139" s="240"/>
      <c r="K139" s="213"/>
      <c r="L139" s="214"/>
      <c r="M139" s="213"/>
      <c r="N139" s="213"/>
      <c r="O139" s="213"/>
      <c r="P139" s="213"/>
      <c r="Q139" s="213"/>
      <c r="R139" s="213"/>
      <c r="S139" s="213"/>
      <c r="T139" s="213"/>
      <c r="U139" s="213"/>
      <c r="V139" s="213"/>
      <c r="W139" s="213"/>
      <c r="X139" s="213"/>
      <c r="Y139" s="213"/>
      <c r="Z139" s="213"/>
      <c r="AA139" s="213"/>
      <c r="AB139" s="213"/>
      <c r="AC139" s="213"/>
      <c r="AD139" s="213"/>
      <c r="AE139" s="213"/>
      <c r="AF139" s="213"/>
      <c r="AG139" s="213"/>
      <c r="AH139" s="213"/>
      <c r="AI139" s="213"/>
      <c r="AJ139" s="213"/>
      <c r="AK139" s="213"/>
      <c r="AL139" s="213"/>
      <c r="AM139" s="213"/>
      <c r="AN139" s="213"/>
      <c r="AO139" s="213"/>
      <c r="AP139" s="213"/>
      <c r="AQ139" s="213"/>
      <c r="AR139" s="213"/>
      <c r="AS139" s="213"/>
      <c r="AT139" s="213"/>
      <c r="AU139" s="213"/>
      <c r="AV139" s="213"/>
      <c r="AW139" s="213"/>
      <c r="AX139" s="213"/>
      <c r="AY139" s="213"/>
      <c r="AZ139" s="213"/>
      <c r="BA139" s="213"/>
      <c r="BB139" s="213"/>
      <c r="BC139" s="213"/>
      <c r="BD139" s="213"/>
      <c r="BE139" s="213"/>
      <c r="BF139" s="213"/>
      <c r="BG139" s="213"/>
      <c r="BH139" s="213"/>
      <c r="BI139" s="213"/>
      <c r="BJ139" s="213"/>
      <c r="BK139" s="213"/>
      <c r="BL139" s="213"/>
      <c r="BM139" s="213"/>
      <c r="BN139" s="213"/>
    </row>
    <row r="140" spans="1:66" s="95" customFormat="1" ht="20.100000000000001" customHeight="1" x14ac:dyDescent="0.15">
      <c r="A140" s="73"/>
      <c r="B140" s="74"/>
      <c r="C140" s="352"/>
      <c r="D140" s="119"/>
      <c r="E140" s="119"/>
      <c r="F140" s="120"/>
      <c r="G140" s="175"/>
      <c r="H140" s="261" t="s">
        <v>238</v>
      </c>
      <c r="I140" s="240">
        <f>450000*4</f>
        <v>1800000</v>
      </c>
      <c r="K140" s="213"/>
      <c r="L140" s="214"/>
      <c r="M140" s="213"/>
      <c r="N140" s="213"/>
      <c r="O140" s="213"/>
      <c r="P140" s="213"/>
      <c r="Q140" s="213"/>
      <c r="R140" s="213"/>
      <c r="S140" s="213"/>
      <c r="T140" s="213"/>
      <c r="U140" s="213"/>
      <c r="V140" s="213"/>
      <c r="W140" s="213"/>
      <c r="X140" s="213"/>
      <c r="Y140" s="213"/>
      <c r="Z140" s="213"/>
      <c r="AA140" s="213"/>
      <c r="AB140" s="213"/>
      <c r="AC140" s="213"/>
      <c r="AD140" s="213"/>
      <c r="AE140" s="213"/>
      <c r="AF140" s="213"/>
      <c r="AG140" s="213"/>
      <c r="AH140" s="213"/>
      <c r="AI140" s="213"/>
      <c r="AJ140" s="213"/>
      <c r="AK140" s="213"/>
      <c r="AL140" s="213"/>
      <c r="AM140" s="213"/>
      <c r="AN140" s="213"/>
      <c r="AO140" s="213"/>
      <c r="AP140" s="213"/>
      <c r="AQ140" s="213"/>
      <c r="AR140" s="213"/>
      <c r="AS140" s="213"/>
      <c r="AT140" s="213"/>
      <c r="AU140" s="213"/>
      <c r="AV140" s="213"/>
      <c r="AW140" s="213"/>
      <c r="AX140" s="213"/>
      <c r="AY140" s="213"/>
      <c r="AZ140" s="213"/>
      <c r="BA140" s="213"/>
      <c r="BB140" s="213"/>
      <c r="BC140" s="213"/>
      <c r="BD140" s="213"/>
      <c r="BE140" s="213"/>
      <c r="BF140" s="213"/>
      <c r="BG140" s="213"/>
      <c r="BH140" s="213"/>
      <c r="BI140" s="213"/>
      <c r="BJ140" s="213"/>
      <c r="BK140" s="213"/>
      <c r="BL140" s="213"/>
      <c r="BM140" s="213"/>
      <c r="BN140" s="213"/>
    </row>
    <row r="141" spans="1:66" s="95" customFormat="1" ht="20.100000000000001" customHeight="1" x14ac:dyDescent="0.15">
      <c r="A141" s="73"/>
      <c r="B141" s="218" t="s">
        <v>57</v>
      </c>
      <c r="C141" s="275"/>
      <c r="D141" s="130">
        <v>6973000</v>
      </c>
      <c r="E141" s="130">
        <f>E142+E144+E150+E153</f>
        <v>3973000</v>
      </c>
      <c r="F141" s="131">
        <f>F142+F144+F150+F153</f>
        <v>-3000000</v>
      </c>
      <c r="G141" s="184">
        <f>F141/E141*100</f>
        <v>-75.509690410269314</v>
      </c>
      <c r="H141" s="256" t="s">
        <v>57</v>
      </c>
      <c r="I141" s="237"/>
      <c r="K141" s="213"/>
      <c r="L141" s="214"/>
      <c r="M141" s="213"/>
      <c r="N141" s="213"/>
      <c r="O141" s="213"/>
      <c r="P141" s="213"/>
      <c r="Q141" s="213"/>
      <c r="R141" s="213"/>
      <c r="S141" s="213"/>
      <c r="T141" s="213"/>
      <c r="U141" s="213"/>
      <c r="V141" s="213"/>
      <c r="W141" s="213"/>
      <c r="X141" s="213"/>
      <c r="Y141" s="213"/>
      <c r="Z141" s="213"/>
      <c r="AA141" s="213"/>
      <c r="AB141" s="213"/>
      <c r="AC141" s="213"/>
      <c r="AD141" s="213"/>
      <c r="AE141" s="213"/>
      <c r="AF141" s="213"/>
      <c r="AG141" s="213"/>
      <c r="AH141" s="213"/>
      <c r="AI141" s="213"/>
      <c r="AJ141" s="213"/>
      <c r="AK141" s="213"/>
      <c r="AL141" s="213"/>
      <c r="AM141" s="213"/>
      <c r="AN141" s="213"/>
      <c r="AO141" s="213"/>
      <c r="AP141" s="213"/>
      <c r="AQ141" s="213"/>
      <c r="AR141" s="213"/>
      <c r="AS141" s="213"/>
      <c r="AT141" s="213"/>
      <c r="AU141" s="213"/>
      <c r="AV141" s="213"/>
      <c r="AW141" s="213"/>
      <c r="AX141" s="213"/>
      <c r="AY141" s="213"/>
      <c r="AZ141" s="213"/>
      <c r="BA141" s="213"/>
      <c r="BB141" s="213"/>
      <c r="BC141" s="213"/>
      <c r="BD141" s="213"/>
      <c r="BE141" s="213"/>
      <c r="BF141" s="213"/>
      <c r="BG141" s="213"/>
      <c r="BH141" s="213"/>
      <c r="BI141" s="213"/>
      <c r="BJ141" s="213"/>
      <c r="BK141" s="213"/>
      <c r="BL141" s="213"/>
      <c r="BM141" s="213"/>
      <c r="BN141" s="213"/>
    </row>
    <row r="142" spans="1:66" s="95" customFormat="1" ht="20.100000000000001" customHeight="1" x14ac:dyDescent="0.15">
      <c r="A142" s="73"/>
      <c r="B142" s="74"/>
      <c r="C142" s="223" t="s">
        <v>58</v>
      </c>
      <c r="D142" s="118">
        <v>4000000</v>
      </c>
      <c r="E142" s="118">
        <f>I143</f>
        <v>1000000</v>
      </c>
      <c r="F142" s="123">
        <f t="shared" ref="F142" si="11">E142-D142</f>
        <v>-3000000</v>
      </c>
      <c r="G142" s="174">
        <f>F142/E142*100</f>
        <v>-300</v>
      </c>
      <c r="H142" s="250" t="s">
        <v>60</v>
      </c>
      <c r="I142" s="240"/>
      <c r="K142" s="213"/>
      <c r="L142" s="214"/>
      <c r="M142" s="213"/>
      <c r="N142" s="213"/>
      <c r="O142" s="213"/>
      <c r="P142" s="213"/>
      <c r="Q142" s="213"/>
      <c r="R142" s="213"/>
      <c r="S142" s="213"/>
      <c r="T142" s="213"/>
      <c r="U142" s="213"/>
      <c r="V142" s="213"/>
      <c r="W142" s="213"/>
      <c r="X142" s="213"/>
      <c r="Y142" s="213"/>
      <c r="Z142" s="213"/>
      <c r="AA142" s="213"/>
      <c r="AB142" s="213"/>
      <c r="AC142" s="213"/>
      <c r="AD142" s="213"/>
      <c r="AE142" s="213"/>
      <c r="AF142" s="213"/>
      <c r="AG142" s="213"/>
      <c r="AH142" s="213"/>
      <c r="AI142" s="213"/>
      <c r="AJ142" s="213"/>
      <c r="AK142" s="213"/>
      <c r="AL142" s="213"/>
      <c r="AM142" s="213"/>
      <c r="AN142" s="213"/>
      <c r="AO142" s="213"/>
      <c r="AP142" s="213"/>
      <c r="AQ142" s="213"/>
      <c r="AR142" s="213"/>
      <c r="AS142" s="213"/>
      <c r="AT142" s="213"/>
      <c r="AU142" s="213"/>
      <c r="AV142" s="213"/>
      <c r="AW142" s="213"/>
      <c r="AX142" s="213"/>
      <c r="AY142" s="213"/>
      <c r="AZ142" s="213"/>
      <c r="BA142" s="213"/>
      <c r="BB142" s="213"/>
      <c r="BC142" s="213"/>
      <c r="BD142" s="213"/>
      <c r="BE142" s="213"/>
      <c r="BF142" s="213"/>
      <c r="BG142" s="213"/>
      <c r="BH142" s="213"/>
      <c r="BI142" s="213"/>
      <c r="BJ142" s="213"/>
      <c r="BK142" s="213"/>
      <c r="BL142" s="213"/>
      <c r="BM142" s="213"/>
      <c r="BN142" s="213"/>
    </row>
    <row r="143" spans="1:66" s="95" customFormat="1" ht="20.100000000000001" customHeight="1" x14ac:dyDescent="0.15">
      <c r="A143" s="73"/>
      <c r="B143" s="74"/>
      <c r="C143" s="224"/>
      <c r="D143" s="119"/>
      <c r="E143" s="119"/>
      <c r="F143" s="120"/>
      <c r="G143" s="175"/>
      <c r="H143" s="252" t="s">
        <v>237</v>
      </c>
      <c r="I143" s="242">
        <f>250000*4</f>
        <v>1000000</v>
      </c>
      <c r="K143" s="213"/>
      <c r="L143" s="214"/>
      <c r="M143" s="213"/>
      <c r="N143" s="213"/>
      <c r="O143" s="213"/>
      <c r="P143" s="213"/>
      <c r="Q143" s="213"/>
      <c r="R143" s="213"/>
      <c r="S143" s="213"/>
      <c r="T143" s="213"/>
      <c r="U143" s="213"/>
      <c r="V143" s="213"/>
      <c r="W143" s="213"/>
      <c r="X143" s="213"/>
      <c r="Y143" s="213"/>
      <c r="Z143" s="213"/>
      <c r="AA143" s="213"/>
      <c r="AB143" s="213"/>
      <c r="AC143" s="213"/>
      <c r="AD143" s="213"/>
      <c r="AE143" s="213"/>
      <c r="AF143" s="213"/>
      <c r="AG143" s="213"/>
      <c r="AH143" s="213"/>
      <c r="AI143" s="213"/>
      <c r="AJ143" s="213"/>
      <c r="AK143" s="213"/>
      <c r="AL143" s="213"/>
      <c r="AM143" s="213"/>
      <c r="AN143" s="213"/>
      <c r="AO143" s="213"/>
      <c r="AP143" s="213"/>
      <c r="AQ143" s="213"/>
      <c r="AR143" s="213"/>
      <c r="AS143" s="213"/>
      <c r="AT143" s="213"/>
      <c r="AU143" s="213"/>
      <c r="AV143" s="213"/>
      <c r="AW143" s="213"/>
      <c r="AX143" s="213"/>
      <c r="AY143" s="213"/>
      <c r="AZ143" s="213"/>
      <c r="BA143" s="213"/>
      <c r="BB143" s="213"/>
      <c r="BC143" s="213"/>
      <c r="BD143" s="213"/>
      <c r="BE143" s="213"/>
      <c r="BF143" s="213"/>
      <c r="BG143" s="213"/>
      <c r="BH143" s="213"/>
      <c r="BI143" s="213"/>
      <c r="BJ143" s="213"/>
      <c r="BK143" s="213"/>
      <c r="BL143" s="213"/>
      <c r="BM143" s="213"/>
      <c r="BN143" s="213"/>
    </row>
    <row r="144" spans="1:66" s="95" customFormat="1" ht="20.100000000000001" customHeight="1" x14ac:dyDescent="0.15">
      <c r="A144" s="73"/>
      <c r="B144" s="74"/>
      <c r="C144" s="223" t="s">
        <v>59</v>
      </c>
      <c r="D144" s="118">
        <v>1373000</v>
      </c>
      <c r="E144" s="118">
        <f>I145+I146+I147+I149+I148</f>
        <v>1373000</v>
      </c>
      <c r="F144" s="123">
        <f>E144-D144</f>
        <v>0</v>
      </c>
      <c r="G144" s="174">
        <f>F144/E144*100</f>
        <v>0</v>
      </c>
      <c r="H144" s="239" t="s">
        <v>61</v>
      </c>
      <c r="I144" s="240"/>
      <c r="K144" s="213"/>
      <c r="L144" s="214"/>
      <c r="M144" s="213"/>
      <c r="N144" s="213"/>
      <c r="O144" s="213"/>
      <c r="P144" s="213"/>
      <c r="Q144" s="213"/>
      <c r="R144" s="213"/>
      <c r="S144" s="213"/>
      <c r="T144" s="213"/>
      <c r="U144" s="213"/>
      <c r="V144" s="213"/>
      <c r="W144" s="213"/>
      <c r="X144" s="213"/>
      <c r="Y144" s="213"/>
      <c r="Z144" s="213"/>
      <c r="AA144" s="213"/>
      <c r="AB144" s="213"/>
      <c r="AC144" s="213"/>
      <c r="AD144" s="213"/>
      <c r="AE144" s="213"/>
      <c r="AF144" s="213"/>
      <c r="AG144" s="213"/>
      <c r="AH144" s="213"/>
      <c r="AI144" s="213"/>
      <c r="AJ144" s="213"/>
      <c r="AK144" s="213"/>
      <c r="AL144" s="213"/>
      <c r="AM144" s="213"/>
      <c r="AN144" s="213"/>
      <c r="AO144" s="213"/>
      <c r="AP144" s="213"/>
      <c r="AQ144" s="213"/>
      <c r="AR144" s="213"/>
      <c r="AS144" s="213"/>
      <c r="AT144" s="213"/>
      <c r="AU144" s="213"/>
      <c r="AV144" s="213"/>
      <c r="AW144" s="213"/>
      <c r="AX144" s="213"/>
      <c r="AY144" s="213"/>
      <c r="AZ144" s="213"/>
      <c r="BA144" s="213"/>
      <c r="BB144" s="213"/>
      <c r="BC144" s="213"/>
      <c r="BD144" s="213"/>
      <c r="BE144" s="213"/>
      <c r="BF144" s="213"/>
      <c r="BG144" s="213"/>
      <c r="BH144" s="213"/>
      <c r="BI144" s="213"/>
      <c r="BJ144" s="213"/>
      <c r="BK144" s="213"/>
      <c r="BL144" s="213"/>
      <c r="BM144" s="213"/>
      <c r="BN144" s="213"/>
    </row>
    <row r="145" spans="1:66" s="95" customFormat="1" ht="20.100000000000001" customHeight="1" x14ac:dyDescent="0.15">
      <c r="A145" s="73"/>
      <c r="B145" s="74"/>
      <c r="C145" s="225"/>
      <c r="D145" s="119"/>
      <c r="E145" s="119"/>
      <c r="F145" s="120"/>
      <c r="G145" s="175"/>
      <c r="H145" s="239" t="s">
        <v>158</v>
      </c>
      <c r="I145" s="240">
        <f>200000*2</f>
        <v>400000</v>
      </c>
      <c r="K145" s="213"/>
      <c r="L145" s="214"/>
      <c r="M145" s="213"/>
      <c r="N145" s="213"/>
      <c r="O145" s="213"/>
      <c r="P145" s="213"/>
      <c r="Q145" s="213"/>
      <c r="R145" s="213"/>
      <c r="S145" s="213"/>
      <c r="T145" s="213"/>
      <c r="U145" s="213"/>
      <c r="V145" s="213"/>
      <c r="W145" s="213"/>
      <c r="X145" s="213"/>
      <c r="Y145" s="213"/>
      <c r="Z145" s="213"/>
      <c r="AA145" s="213"/>
      <c r="AB145" s="213"/>
      <c r="AC145" s="213"/>
      <c r="AD145" s="213"/>
      <c r="AE145" s="213"/>
      <c r="AF145" s="213"/>
      <c r="AG145" s="213"/>
      <c r="AH145" s="213"/>
      <c r="AI145" s="213"/>
      <c r="AJ145" s="213"/>
      <c r="AK145" s="213"/>
      <c r="AL145" s="213"/>
      <c r="AM145" s="213"/>
      <c r="AN145" s="213"/>
      <c r="AO145" s="213"/>
      <c r="AP145" s="213"/>
      <c r="AQ145" s="213"/>
      <c r="AR145" s="213"/>
      <c r="AS145" s="213"/>
      <c r="AT145" s="213"/>
      <c r="AU145" s="213"/>
      <c r="AV145" s="213"/>
      <c r="AW145" s="213"/>
      <c r="AX145" s="213"/>
      <c r="AY145" s="213"/>
      <c r="AZ145" s="213"/>
      <c r="BA145" s="213"/>
      <c r="BB145" s="213"/>
      <c r="BC145" s="213"/>
      <c r="BD145" s="213"/>
      <c r="BE145" s="213"/>
      <c r="BF145" s="213"/>
      <c r="BG145" s="213"/>
      <c r="BH145" s="213"/>
      <c r="BI145" s="213"/>
      <c r="BJ145" s="213"/>
      <c r="BK145" s="213"/>
      <c r="BL145" s="213"/>
      <c r="BM145" s="213"/>
      <c r="BN145" s="213"/>
    </row>
    <row r="146" spans="1:66" s="95" customFormat="1" ht="20.100000000000001" customHeight="1" x14ac:dyDescent="0.15">
      <c r="A146" s="73"/>
      <c r="B146" s="74"/>
      <c r="C146" s="225"/>
      <c r="D146" s="119"/>
      <c r="E146" s="119"/>
      <c r="F146" s="120"/>
      <c r="G146" s="175"/>
      <c r="H146" s="239" t="s">
        <v>123</v>
      </c>
      <c r="I146" s="240">
        <f>28000*6</f>
        <v>168000</v>
      </c>
      <c r="K146" s="213"/>
      <c r="L146" s="214"/>
      <c r="M146" s="213"/>
      <c r="N146" s="213"/>
      <c r="O146" s="213"/>
      <c r="P146" s="213"/>
      <c r="Q146" s="213"/>
      <c r="R146" s="213"/>
      <c r="S146" s="213"/>
      <c r="T146" s="213"/>
      <c r="U146" s="213"/>
      <c r="V146" s="213"/>
      <c r="W146" s="213"/>
      <c r="X146" s="213"/>
      <c r="Y146" s="213"/>
      <c r="Z146" s="213"/>
      <c r="AA146" s="213"/>
      <c r="AB146" s="213"/>
      <c r="AC146" s="213"/>
      <c r="AD146" s="213"/>
      <c r="AE146" s="213"/>
      <c r="AF146" s="213"/>
      <c r="AG146" s="213"/>
      <c r="AH146" s="213"/>
      <c r="AI146" s="213"/>
      <c r="AJ146" s="213"/>
      <c r="AK146" s="213"/>
      <c r="AL146" s="213"/>
      <c r="AM146" s="213"/>
      <c r="AN146" s="213"/>
      <c r="AO146" s="213"/>
      <c r="AP146" s="213"/>
      <c r="AQ146" s="213"/>
      <c r="AR146" s="213"/>
      <c r="AS146" s="213"/>
      <c r="AT146" s="213"/>
      <c r="AU146" s="213"/>
      <c r="AV146" s="213"/>
      <c r="AW146" s="213"/>
      <c r="AX146" s="213"/>
      <c r="AY146" s="213"/>
      <c r="AZ146" s="213"/>
      <c r="BA146" s="213"/>
      <c r="BB146" s="213"/>
      <c r="BC146" s="213"/>
      <c r="BD146" s="213"/>
      <c r="BE146" s="213"/>
      <c r="BF146" s="213"/>
      <c r="BG146" s="213"/>
      <c r="BH146" s="213"/>
      <c r="BI146" s="213"/>
      <c r="BJ146" s="213"/>
      <c r="BK146" s="213"/>
      <c r="BL146" s="213"/>
      <c r="BM146" s="213"/>
      <c r="BN146" s="213"/>
    </row>
    <row r="147" spans="1:66" s="95" customFormat="1" ht="20.100000000000001" customHeight="1" x14ac:dyDescent="0.15">
      <c r="A147" s="73"/>
      <c r="B147" s="74"/>
      <c r="C147" s="225"/>
      <c r="D147" s="119"/>
      <c r="E147" s="119"/>
      <c r="F147" s="120"/>
      <c r="G147" s="175"/>
      <c r="H147" s="239" t="s">
        <v>131</v>
      </c>
      <c r="I147" s="240">
        <f>35000*1</f>
        <v>35000</v>
      </c>
      <c r="K147" s="213"/>
      <c r="L147" s="214"/>
      <c r="M147" s="213"/>
      <c r="N147" s="213"/>
      <c r="O147" s="213"/>
      <c r="P147" s="213"/>
      <c r="Q147" s="213"/>
      <c r="R147" s="213"/>
      <c r="S147" s="213"/>
      <c r="T147" s="213"/>
      <c r="U147" s="213"/>
      <c r="V147" s="213"/>
      <c r="W147" s="213"/>
      <c r="X147" s="213"/>
      <c r="Y147" s="213"/>
      <c r="Z147" s="213"/>
      <c r="AA147" s="213"/>
      <c r="AB147" s="213"/>
      <c r="AC147" s="213"/>
      <c r="AD147" s="213"/>
      <c r="AE147" s="213"/>
      <c r="AF147" s="213"/>
      <c r="AG147" s="213"/>
      <c r="AH147" s="213"/>
      <c r="AI147" s="213"/>
      <c r="AJ147" s="213"/>
      <c r="AK147" s="213"/>
      <c r="AL147" s="213"/>
      <c r="AM147" s="213"/>
      <c r="AN147" s="213"/>
      <c r="AO147" s="213"/>
      <c r="AP147" s="213"/>
      <c r="AQ147" s="213"/>
      <c r="AR147" s="213"/>
      <c r="AS147" s="213"/>
      <c r="AT147" s="213"/>
      <c r="AU147" s="213"/>
      <c r="AV147" s="213"/>
      <c r="AW147" s="213"/>
      <c r="AX147" s="213"/>
      <c r="AY147" s="213"/>
      <c r="AZ147" s="213"/>
      <c r="BA147" s="213"/>
      <c r="BB147" s="213"/>
      <c r="BC147" s="213"/>
      <c r="BD147" s="213"/>
      <c r="BE147" s="213"/>
      <c r="BF147" s="213"/>
      <c r="BG147" s="213"/>
      <c r="BH147" s="213"/>
      <c r="BI147" s="213"/>
      <c r="BJ147" s="213"/>
      <c r="BK147" s="213"/>
      <c r="BL147" s="213"/>
      <c r="BM147" s="213"/>
      <c r="BN147" s="213"/>
    </row>
    <row r="148" spans="1:66" s="95" customFormat="1" ht="20.100000000000001" customHeight="1" x14ac:dyDescent="0.15">
      <c r="A148" s="73"/>
      <c r="B148" s="74"/>
      <c r="C148" s="294"/>
      <c r="D148" s="119"/>
      <c r="E148" s="119"/>
      <c r="F148" s="120"/>
      <c r="G148" s="175"/>
      <c r="H148" s="239" t="s">
        <v>249</v>
      </c>
      <c r="I148" s="240">
        <f>162500*4</f>
        <v>650000</v>
      </c>
      <c r="K148" s="213"/>
      <c r="L148" s="214"/>
      <c r="M148" s="213"/>
      <c r="N148" s="213"/>
      <c r="O148" s="213"/>
      <c r="P148" s="213"/>
      <c r="Q148" s="213"/>
      <c r="R148" s="213"/>
      <c r="S148" s="213"/>
      <c r="T148" s="213"/>
      <c r="U148" s="213"/>
      <c r="V148" s="213"/>
      <c r="W148" s="213"/>
      <c r="X148" s="213"/>
      <c r="Y148" s="213"/>
      <c r="Z148" s="213"/>
      <c r="AA148" s="213"/>
      <c r="AB148" s="213"/>
      <c r="AC148" s="213"/>
      <c r="AD148" s="213"/>
      <c r="AE148" s="213"/>
      <c r="AF148" s="213"/>
      <c r="AG148" s="213"/>
      <c r="AH148" s="213"/>
      <c r="AI148" s="213"/>
      <c r="AJ148" s="213"/>
      <c r="AK148" s="213"/>
      <c r="AL148" s="213"/>
      <c r="AM148" s="213"/>
      <c r="AN148" s="213"/>
      <c r="AO148" s="213"/>
      <c r="AP148" s="213"/>
      <c r="AQ148" s="213"/>
      <c r="AR148" s="213"/>
      <c r="AS148" s="213"/>
      <c r="AT148" s="213"/>
      <c r="AU148" s="213"/>
      <c r="AV148" s="213"/>
      <c r="AW148" s="213"/>
      <c r="AX148" s="213"/>
      <c r="AY148" s="213"/>
      <c r="AZ148" s="213"/>
      <c r="BA148" s="213"/>
      <c r="BB148" s="213"/>
      <c r="BC148" s="213"/>
      <c r="BD148" s="213"/>
      <c r="BE148" s="213"/>
      <c r="BF148" s="213"/>
      <c r="BG148" s="213"/>
      <c r="BH148" s="213"/>
      <c r="BI148" s="213"/>
      <c r="BJ148" s="213"/>
      <c r="BK148" s="213"/>
      <c r="BL148" s="213"/>
      <c r="BM148" s="213"/>
      <c r="BN148" s="213"/>
    </row>
    <row r="149" spans="1:66" s="95" customFormat="1" ht="20.100000000000001" customHeight="1" x14ac:dyDescent="0.15">
      <c r="A149" s="73"/>
      <c r="B149" s="74"/>
      <c r="C149" s="292"/>
      <c r="D149" s="126"/>
      <c r="E149" s="126"/>
      <c r="F149" s="124"/>
      <c r="G149" s="180"/>
      <c r="H149" s="252" t="s">
        <v>129</v>
      </c>
      <c r="I149" s="240">
        <f>30000*4</f>
        <v>120000</v>
      </c>
      <c r="J149" s="212"/>
      <c r="K149" s="213"/>
      <c r="L149" s="214"/>
      <c r="M149" s="213"/>
      <c r="N149" s="213"/>
      <c r="O149" s="213"/>
      <c r="P149" s="213"/>
      <c r="Q149" s="213"/>
      <c r="R149" s="213"/>
      <c r="S149" s="213"/>
      <c r="T149" s="213"/>
      <c r="U149" s="213"/>
      <c r="V149" s="213"/>
      <c r="W149" s="213"/>
      <c r="X149" s="213"/>
      <c r="Y149" s="213"/>
      <c r="Z149" s="213"/>
      <c r="AA149" s="213"/>
      <c r="AB149" s="213"/>
      <c r="AC149" s="213"/>
      <c r="AD149" s="213"/>
      <c r="AE149" s="213"/>
      <c r="AF149" s="213"/>
      <c r="AG149" s="213"/>
      <c r="AH149" s="213"/>
      <c r="AI149" s="213"/>
      <c r="AJ149" s="213"/>
      <c r="AK149" s="213"/>
      <c r="AL149" s="213"/>
      <c r="AM149" s="213"/>
      <c r="AN149" s="213"/>
      <c r="AO149" s="213"/>
      <c r="AP149" s="213"/>
      <c r="AQ149" s="213"/>
      <c r="AR149" s="213"/>
      <c r="AS149" s="213"/>
      <c r="AT149" s="213"/>
      <c r="AU149" s="213"/>
      <c r="AV149" s="213"/>
      <c r="AW149" s="213"/>
      <c r="AX149" s="213"/>
      <c r="AY149" s="213"/>
      <c r="AZ149" s="213"/>
      <c r="BA149" s="213"/>
      <c r="BB149" s="213"/>
      <c r="BC149" s="213"/>
      <c r="BD149" s="213"/>
      <c r="BE149" s="213"/>
      <c r="BF149" s="213"/>
      <c r="BG149" s="213"/>
      <c r="BH149" s="213"/>
      <c r="BI149" s="213"/>
      <c r="BJ149" s="213"/>
      <c r="BK149" s="213"/>
      <c r="BL149" s="213"/>
      <c r="BM149" s="213"/>
      <c r="BN149" s="213"/>
    </row>
    <row r="150" spans="1:66" s="136" customFormat="1" ht="20.100000000000001" customHeight="1" x14ac:dyDescent="0.15">
      <c r="A150" s="104"/>
      <c r="B150" s="74"/>
      <c r="C150" s="140" t="s">
        <v>68</v>
      </c>
      <c r="D150" s="119">
        <v>1400000</v>
      </c>
      <c r="E150" s="119">
        <f>I151+I152</f>
        <v>1400000</v>
      </c>
      <c r="F150" s="128">
        <f>E150-D150</f>
        <v>0</v>
      </c>
      <c r="G150" s="156">
        <f>F150/E150*100</f>
        <v>0</v>
      </c>
      <c r="H150" s="239" t="s">
        <v>62</v>
      </c>
      <c r="I150" s="238"/>
      <c r="J150" s="213"/>
      <c r="K150" s="213"/>
      <c r="L150" s="214"/>
      <c r="M150" s="213"/>
      <c r="N150" s="213"/>
      <c r="O150" s="213"/>
      <c r="P150" s="213"/>
      <c r="Q150" s="213"/>
      <c r="R150" s="213"/>
      <c r="S150" s="213"/>
      <c r="T150" s="213"/>
      <c r="U150" s="213"/>
      <c r="V150" s="213"/>
      <c r="W150" s="213"/>
      <c r="X150" s="213"/>
      <c r="Y150" s="213"/>
      <c r="Z150" s="213"/>
      <c r="AA150" s="213"/>
      <c r="AB150" s="213"/>
      <c r="AC150" s="213"/>
      <c r="AD150" s="213"/>
      <c r="AE150" s="213"/>
      <c r="AF150" s="213"/>
      <c r="AG150" s="213"/>
      <c r="AH150" s="213"/>
      <c r="AI150" s="213"/>
      <c r="AJ150" s="213"/>
      <c r="AK150" s="213"/>
      <c r="AL150" s="213"/>
      <c r="AM150" s="213"/>
      <c r="AN150" s="213"/>
      <c r="AO150" s="213"/>
      <c r="AP150" s="213"/>
      <c r="AQ150" s="213"/>
      <c r="AR150" s="213"/>
      <c r="AS150" s="213"/>
      <c r="AT150" s="213"/>
      <c r="AU150" s="213"/>
      <c r="AV150" s="213"/>
      <c r="AW150" s="213"/>
      <c r="AX150" s="213"/>
      <c r="AY150" s="213"/>
      <c r="AZ150" s="213"/>
      <c r="BA150" s="213"/>
      <c r="BB150" s="213"/>
      <c r="BC150" s="213"/>
      <c r="BD150" s="213"/>
      <c r="BE150" s="213"/>
      <c r="BF150" s="213"/>
      <c r="BG150" s="213"/>
      <c r="BH150" s="213"/>
      <c r="BI150" s="213"/>
      <c r="BJ150" s="213"/>
      <c r="BK150" s="213"/>
      <c r="BL150" s="213"/>
      <c r="BM150" s="213"/>
      <c r="BN150" s="213"/>
    </row>
    <row r="151" spans="1:66" s="95" customFormat="1" ht="20.100000000000001" customHeight="1" x14ac:dyDescent="0.15">
      <c r="A151" s="73"/>
      <c r="B151" s="74"/>
      <c r="C151" s="141"/>
      <c r="D151" s="119"/>
      <c r="E151" s="119"/>
      <c r="F151" s="120"/>
      <c r="G151" s="175"/>
      <c r="H151" s="239" t="s">
        <v>146</v>
      </c>
      <c r="I151" s="240">
        <f>300000*2</f>
        <v>600000</v>
      </c>
      <c r="J151" s="212"/>
      <c r="K151" s="213"/>
      <c r="L151" s="214"/>
      <c r="M151" s="213"/>
      <c r="N151" s="213"/>
      <c r="O151" s="213"/>
      <c r="P151" s="213"/>
      <c r="Q151" s="213"/>
      <c r="R151" s="213"/>
      <c r="S151" s="213"/>
      <c r="T151" s="213"/>
      <c r="U151" s="213"/>
      <c r="V151" s="213"/>
      <c r="W151" s="213"/>
      <c r="X151" s="213"/>
      <c r="Y151" s="213"/>
      <c r="Z151" s="213"/>
      <c r="AA151" s="213"/>
      <c r="AB151" s="213"/>
      <c r="AC151" s="213"/>
      <c r="AD151" s="213"/>
      <c r="AE151" s="213"/>
      <c r="AF151" s="213"/>
      <c r="AG151" s="213"/>
      <c r="AH151" s="213"/>
      <c r="AI151" s="213"/>
      <c r="AJ151" s="213"/>
      <c r="AK151" s="213"/>
      <c r="AL151" s="213"/>
      <c r="AM151" s="213"/>
      <c r="AN151" s="213"/>
      <c r="AO151" s="213"/>
      <c r="AP151" s="213"/>
      <c r="AQ151" s="213"/>
      <c r="AR151" s="213"/>
      <c r="AS151" s="213"/>
      <c r="AT151" s="213"/>
      <c r="AU151" s="213"/>
      <c r="AV151" s="213"/>
      <c r="AW151" s="213"/>
      <c r="AX151" s="213"/>
      <c r="AY151" s="213"/>
      <c r="AZ151" s="213"/>
      <c r="BA151" s="213"/>
      <c r="BB151" s="213"/>
      <c r="BC151" s="213"/>
      <c r="BD151" s="213"/>
      <c r="BE151" s="213"/>
      <c r="BF151" s="213"/>
      <c r="BG151" s="213"/>
      <c r="BH151" s="213"/>
      <c r="BI151" s="213"/>
      <c r="BJ151" s="213"/>
      <c r="BK151" s="213"/>
      <c r="BL151" s="213"/>
      <c r="BM151" s="213"/>
      <c r="BN151" s="213"/>
    </row>
    <row r="152" spans="1:66" s="95" customFormat="1" ht="20.100000000000001" customHeight="1" x14ac:dyDescent="0.15">
      <c r="A152" s="73"/>
      <c r="B152" s="100"/>
      <c r="C152" s="142"/>
      <c r="D152" s="126"/>
      <c r="E152" s="126"/>
      <c r="F152" s="124"/>
      <c r="G152" s="180"/>
      <c r="H152" s="252" t="s">
        <v>130</v>
      </c>
      <c r="I152" s="242">
        <f>200000*4</f>
        <v>800000</v>
      </c>
      <c r="K152" s="213"/>
      <c r="L152" s="214"/>
      <c r="M152" s="213"/>
      <c r="N152" s="213"/>
      <c r="O152" s="213"/>
      <c r="P152" s="213"/>
      <c r="Q152" s="213"/>
      <c r="R152" s="213"/>
      <c r="S152" s="213"/>
      <c r="T152" s="213"/>
      <c r="U152" s="213"/>
      <c r="V152" s="213"/>
      <c r="W152" s="213"/>
      <c r="X152" s="213"/>
      <c r="Y152" s="213"/>
      <c r="Z152" s="213"/>
      <c r="AA152" s="213"/>
      <c r="AB152" s="213"/>
      <c r="AC152" s="213"/>
      <c r="AD152" s="213"/>
      <c r="AE152" s="213"/>
      <c r="AF152" s="213"/>
      <c r="AG152" s="213"/>
      <c r="AH152" s="213"/>
      <c r="AI152" s="213"/>
      <c r="AJ152" s="213"/>
      <c r="AK152" s="213"/>
      <c r="AL152" s="213"/>
      <c r="AM152" s="213"/>
      <c r="AN152" s="213"/>
      <c r="AO152" s="213"/>
      <c r="AP152" s="213"/>
      <c r="AQ152" s="213"/>
      <c r="AR152" s="213"/>
      <c r="AS152" s="213"/>
      <c r="AT152" s="213"/>
      <c r="AU152" s="213"/>
      <c r="AV152" s="213"/>
      <c r="AW152" s="213"/>
      <c r="AX152" s="213"/>
      <c r="AY152" s="213"/>
      <c r="AZ152" s="213"/>
      <c r="BA152" s="213"/>
      <c r="BB152" s="213"/>
      <c r="BC152" s="213"/>
      <c r="BD152" s="213"/>
      <c r="BE152" s="213"/>
      <c r="BF152" s="213"/>
      <c r="BG152" s="213"/>
      <c r="BH152" s="213"/>
      <c r="BI152" s="213"/>
      <c r="BJ152" s="213"/>
      <c r="BK152" s="213"/>
      <c r="BL152" s="213"/>
      <c r="BM152" s="213"/>
      <c r="BN152" s="213"/>
    </row>
    <row r="153" spans="1:66" s="95" customFormat="1" ht="20.100000000000001" customHeight="1" x14ac:dyDescent="0.15">
      <c r="A153" s="104"/>
      <c r="B153" s="74"/>
      <c r="C153" s="141" t="s">
        <v>63</v>
      </c>
      <c r="D153" s="119">
        <v>200000</v>
      </c>
      <c r="E153" s="119">
        <f>I154</f>
        <v>200000</v>
      </c>
      <c r="F153" s="128">
        <f>E153-D153</f>
        <v>0</v>
      </c>
      <c r="G153" s="156">
        <f>F153/E153*100</f>
        <v>0</v>
      </c>
      <c r="H153" s="239" t="s">
        <v>63</v>
      </c>
      <c r="I153" s="240"/>
      <c r="K153" s="213"/>
      <c r="L153" s="214"/>
      <c r="M153" s="213"/>
      <c r="N153" s="213"/>
      <c r="O153" s="213"/>
      <c r="P153" s="213"/>
      <c r="Q153" s="213"/>
      <c r="R153" s="213"/>
      <c r="S153" s="213"/>
      <c r="T153" s="213"/>
      <c r="U153" s="213"/>
      <c r="V153" s="213"/>
      <c r="W153" s="213"/>
      <c r="X153" s="213"/>
      <c r="Y153" s="213"/>
      <c r="Z153" s="213"/>
      <c r="AA153" s="213"/>
      <c r="AB153" s="213"/>
      <c r="AC153" s="213"/>
      <c r="AD153" s="213"/>
      <c r="AE153" s="213"/>
      <c r="AF153" s="213"/>
      <c r="AG153" s="213"/>
      <c r="AH153" s="213"/>
      <c r="AI153" s="213"/>
      <c r="AJ153" s="213"/>
      <c r="AK153" s="213"/>
      <c r="AL153" s="213"/>
      <c r="AM153" s="213"/>
      <c r="AN153" s="213"/>
      <c r="AO153" s="213"/>
      <c r="AP153" s="213"/>
      <c r="AQ153" s="213"/>
      <c r="AR153" s="213"/>
      <c r="AS153" s="213"/>
      <c r="AT153" s="213"/>
      <c r="AU153" s="213"/>
      <c r="AV153" s="213"/>
      <c r="AW153" s="213"/>
      <c r="AX153" s="213"/>
      <c r="AY153" s="213"/>
      <c r="AZ153" s="213"/>
      <c r="BA153" s="213"/>
      <c r="BB153" s="213"/>
      <c r="BC153" s="213"/>
      <c r="BD153" s="213"/>
      <c r="BE153" s="213"/>
      <c r="BF153" s="213"/>
      <c r="BG153" s="213"/>
      <c r="BH153" s="213"/>
      <c r="BI153" s="213"/>
      <c r="BJ153" s="213"/>
      <c r="BK153" s="213"/>
      <c r="BL153" s="213"/>
      <c r="BM153" s="213"/>
      <c r="BN153" s="213"/>
    </row>
    <row r="154" spans="1:66" s="95" customFormat="1" ht="20.100000000000001" customHeight="1" x14ac:dyDescent="0.15">
      <c r="A154" s="137"/>
      <c r="B154" s="100"/>
      <c r="C154" s="142"/>
      <c r="D154" s="126"/>
      <c r="E154" s="126"/>
      <c r="F154" s="128">
        <f t="shared" ref="F154" si="12">E154-D154</f>
        <v>0</v>
      </c>
      <c r="G154" s="182"/>
      <c r="H154" s="252" t="s">
        <v>119</v>
      </c>
      <c r="I154" s="242">
        <f>100000*2</f>
        <v>200000</v>
      </c>
      <c r="K154" s="213"/>
      <c r="L154" s="214"/>
      <c r="M154" s="213"/>
      <c r="N154" s="213"/>
      <c r="O154" s="213"/>
      <c r="P154" s="213"/>
      <c r="Q154" s="213"/>
      <c r="R154" s="213"/>
      <c r="S154" s="213"/>
      <c r="T154" s="213"/>
      <c r="U154" s="213"/>
      <c r="V154" s="213"/>
      <c r="W154" s="213"/>
      <c r="X154" s="213"/>
      <c r="Y154" s="213"/>
      <c r="Z154" s="213"/>
      <c r="AA154" s="213"/>
      <c r="AB154" s="213"/>
      <c r="AC154" s="213"/>
      <c r="AD154" s="213"/>
      <c r="AE154" s="213"/>
      <c r="AF154" s="213"/>
      <c r="AG154" s="213"/>
      <c r="AH154" s="213"/>
      <c r="AI154" s="213"/>
      <c r="AJ154" s="213"/>
      <c r="AK154" s="213"/>
      <c r="AL154" s="213"/>
      <c r="AM154" s="213"/>
      <c r="AN154" s="213"/>
      <c r="AO154" s="213"/>
      <c r="AP154" s="213"/>
      <c r="AQ154" s="213"/>
      <c r="AR154" s="213"/>
      <c r="AS154" s="213"/>
      <c r="AT154" s="213"/>
      <c r="AU154" s="213"/>
      <c r="AV154" s="213"/>
      <c r="AW154" s="213"/>
      <c r="AX154" s="213"/>
      <c r="AY154" s="213"/>
      <c r="AZ154" s="213"/>
      <c r="BA154" s="213"/>
      <c r="BB154" s="213"/>
      <c r="BC154" s="213"/>
      <c r="BD154" s="213"/>
      <c r="BE154" s="213"/>
      <c r="BF154" s="213"/>
      <c r="BG154" s="213"/>
      <c r="BH154" s="213"/>
      <c r="BI154" s="213"/>
      <c r="BJ154" s="213"/>
      <c r="BK154" s="213"/>
      <c r="BL154" s="213"/>
      <c r="BM154" s="213"/>
      <c r="BN154" s="213"/>
    </row>
    <row r="155" spans="1:66" s="95" customFormat="1" ht="20.100000000000001" customHeight="1" x14ac:dyDescent="0.15">
      <c r="A155" s="220" t="s">
        <v>64</v>
      </c>
      <c r="B155" s="221"/>
      <c r="C155" s="143"/>
      <c r="D155" s="114">
        <v>80417</v>
      </c>
      <c r="E155" s="114">
        <f>E156</f>
        <v>1617293</v>
      </c>
      <c r="F155" s="115">
        <f>E155-D155</f>
        <v>1536876</v>
      </c>
      <c r="G155" s="185">
        <f>F155/E155*100</f>
        <v>95.027678967261963</v>
      </c>
      <c r="H155" s="256" t="s">
        <v>64</v>
      </c>
      <c r="I155" s="237"/>
      <c r="K155" s="213"/>
      <c r="L155" s="214"/>
      <c r="M155" s="213"/>
      <c r="N155" s="213"/>
      <c r="O155" s="213"/>
      <c r="P155" s="213"/>
      <c r="Q155" s="213"/>
      <c r="R155" s="213"/>
      <c r="S155" s="213"/>
      <c r="T155" s="213"/>
      <c r="U155" s="213"/>
      <c r="V155" s="213"/>
      <c r="W155" s="213"/>
      <c r="X155" s="213"/>
      <c r="Y155" s="213"/>
      <c r="Z155" s="213"/>
      <c r="AA155" s="213"/>
      <c r="AB155" s="213"/>
      <c r="AC155" s="213"/>
      <c r="AD155" s="213"/>
      <c r="AE155" s="213"/>
      <c r="AF155" s="213"/>
      <c r="AG155" s="213"/>
      <c r="AH155" s="213"/>
      <c r="AI155" s="213"/>
      <c r="AJ155" s="213"/>
      <c r="AK155" s="213"/>
      <c r="AL155" s="213"/>
      <c r="AM155" s="213"/>
      <c r="AN155" s="213"/>
      <c r="AO155" s="213"/>
      <c r="AP155" s="213"/>
      <c r="AQ155" s="213"/>
      <c r="AR155" s="213"/>
      <c r="AS155" s="213"/>
      <c r="AT155" s="213"/>
      <c r="AU155" s="213"/>
      <c r="AV155" s="213"/>
      <c r="AW155" s="213"/>
      <c r="AX155" s="213"/>
      <c r="AY155" s="213"/>
      <c r="AZ155" s="213"/>
      <c r="BA155" s="213"/>
      <c r="BB155" s="213"/>
      <c r="BC155" s="213"/>
      <c r="BD155" s="213"/>
      <c r="BE155" s="213"/>
      <c r="BF155" s="213"/>
      <c r="BG155" s="213"/>
      <c r="BH155" s="213"/>
      <c r="BI155" s="213"/>
      <c r="BJ155" s="213"/>
      <c r="BK155" s="213"/>
      <c r="BL155" s="213"/>
      <c r="BM155" s="213"/>
      <c r="BN155" s="213"/>
    </row>
    <row r="156" spans="1:66" s="95" customFormat="1" ht="20.100000000000001" customHeight="1" x14ac:dyDescent="0.15">
      <c r="A156" s="64"/>
      <c r="B156" s="144" t="s">
        <v>64</v>
      </c>
      <c r="C156" s="139"/>
      <c r="D156" s="116">
        <v>80417</v>
      </c>
      <c r="E156" s="116">
        <f>E157+E159</f>
        <v>1617293</v>
      </c>
      <c r="F156" s="123">
        <f t="shared" si="0"/>
        <v>1536876</v>
      </c>
      <c r="G156" s="184">
        <f>F156/E156*100</f>
        <v>95.027678967261963</v>
      </c>
      <c r="H156" s="256" t="s">
        <v>64</v>
      </c>
      <c r="I156" s="237"/>
      <c r="J156" s="81"/>
      <c r="K156" s="215"/>
      <c r="L156" s="214"/>
      <c r="M156" s="213"/>
      <c r="N156" s="213"/>
      <c r="O156" s="213"/>
      <c r="P156" s="213"/>
      <c r="Q156" s="213"/>
      <c r="R156" s="213"/>
      <c r="S156" s="213"/>
      <c r="T156" s="213"/>
      <c r="U156" s="213"/>
      <c r="V156" s="213"/>
      <c r="W156" s="213"/>
      <c r="X156" s="213"/>
      <c r="Y156" s="213"/>
      <c r="Z156" s="213"/>
      <c r="AA156" s="213"/>
      <c r="AB156" s="213"/>
      <c r="AC156" s="213"/>
      <c r="AD156" s="213"/>
      <c r="AE156" s="213"/>
      <c r="AF156" s="213"/>
      <c r="AG156" s="213"/>
      <c r="AH156" s="213"/>
      <c r="AI156" s="213"/>
      <c r="AJ156" s="213"/>
      <c r="AK156" s="213"/>
      <c r="AL156" s="213"/>
      <c r="AM156" s="213"/>
      <c r="AN156" s="213"/>
      <c r="AO156" s="213"/>
      <c r="AP156" s="213"/>
      <c r="AQ156" s="213"/>
      <c r="AR156" s="213"/>
      <c r="AS156" s="213"/>
      <c r="AT156" s="213"/>
      <c r="AU156" s="213"/>
      <c r="AV156" s="213"/>
      <c r="AW156" s="213"/>
      <c r="AX156" s="213"/>
      <c r="AY156" s="213"/>
      <c r="AZ156" s="213"/>
      <c r="BA156" s="213"/>
      <c r="BB156" s="213"/>
      <c r="BC156" s="213"/>
      <c r="BD156" s="213"/>
      <c r="BE156" s="213"/>
      <c r="BF156" s="213"/>
      <c r="BG156" s="213"/>
      <c r="BH156" s="213"/>
      <c r="BI156" s="213"/>
      <c r="BJ156" s="213"/>
      <c r="BK156" s="213"/>
      <c r="BL156" s="213"/>
      <c r="BM156" s="213"/>
      <c r="BN156" s="213"/>
    </row>
    <row r="157" spans="1:66" s="95" customFormat="1" ht="20.100000000000001" customHeight="1" x14ac:dyDescent="0.15">
      <c r="A157" s="104"/>
      <c r="B157" s="74"/>
      <c r="C157" s="141" t="s">
        <v>65</v>
      </c>
      <c r="D157" s="119">
        <v>60417</v>
      </c>
      <c r="E157" s="119">
        <f>I158</f>
        <v>197293</v>
      </c>
      <c r="F157" s="123">
        <f>E157-D157</f>
        <v>136876</v>
      </c>
      <c r="G157" s="155">
        <f>F157/E157*100</f>
        <v>69.377017937787954</v>
      </c>
      <c r="H157" s="254" t="s">
        <v>65</v>
      </c>
      <c r="I157" s="240"/>
      <c r="K157" s="213"/>
      <c r="L157" s="214"/>
      <c r="M157" s="213"/>
      <c r="N157" s="213"/>
      <c r="O157" s="213"/>
      <c r="P157" s="213"/>
      <c r="Q157" s="213"/>
      <c r="R157" s="213"/>
      <c r="S157" s="213"/>
      <c r="T157" s="213"/>
      <c r="U157" s="213"/>
      <c r="V157" s="213"/>
      <c r="W157" s="213"/>
      <c r="X157" s="213"/>
      <c r="Y157" s="213"/>
      <c r="Z157" s="213"/>
      <c r="AA157" s="213"/>
      <c r="AB157" s="213"/>
      <c r="AC157" s="213"/>
      <c r="AD157" s="213"/>
      <c r="AE157" s="213"/>
      <c r="AF157" s="213"/>
      <c r="AG157" s="213"/>
      <c r="AH157" s="213"/>
      <c r="AI157" s="213"/>
      <c r="AJ157" s="213"/>
      <c r="AK157" s="213"/>
      <c r="AL157" s="213"/>
      <c r="AM157" s="213"/>
      <c r="AN157" s="213"/>
      <c r="AO157" s="213"/>
      <c r="AP157" s="213"/>
      <c r="AQ157" s="213"/>
      <c r="AR157" s="213"/>
      <c r="AS157" s="213"/>
      <c r="AT157" s="213"/>
      <c r="AU157" s="213"/>
      <c r="AV157" s="213"/>
      <c r="AW157" s="213"/>
      <c r="AX157" s="213"/>
      <c r="AY157" s="213"/>
      <c r="AZ157" s="213"/>
      <c r="BA157" s="213"/>
      <c r="BB157" s="213"/>
      <c r="BC157" s="213"/>
      <c r="BD157" s="213"/>
      <c r="BE157" s="213"/>
      <c r="BF157" s="213"/>
      <c r="BG157" s="213"/>
      <c r="BH157" s="213"/>
      <c r="BI157" s="213"/>
      <c r="BJ157" s="213"/>
      <c r="BK157" s="213"/>
      <c r="BL157" s="213"/>
      <c r="BM157" s="213"/>
      <c r="BN157" s="213"/>
    </row>
    <row r="158" spans="1:66" s="136" customFormat="1" ht="20.100000000000001" customHeight="1" x14ac:dyDescent="0.15">
      <c r="A158" s="73"/>
      <c r="B158" s="101"/>
      <c r="C158" s="142"/>
      <c r="D158" s="126"/>
      <c r="E158" s="126"/>
      <c r="F158" s="125"/>
      <c r="G158" s="154"/>
      <c r="H158" s="262" t="s">
        <v>260</v>
      </c>
      <c r="I158" s="242">
        <f>60417+106876+30000</f>
        <v>197293</v>
      </c>
      <c r="J158" s="215"/>
      <c r="K158" s="269"/>
      <c r="L158" s="214"/>
      <c r="M158" s="213"/>
      <c r="N158" s="213"/>
      <c r="O158" s="213"/>
      <c r="P158" s="213"/>
      <c r="Q158" s="213"/>
      <c r="R158" s="213"/>
      <c r="S158" s="213"/>
      <c r="T158" s="213"/>
      <c r="U158" s="213"/>
      <c r="V158" s="213"/>
      <c r="W158" s="213"/>
      <c r="X158" s="213"/>
      <c r="Y158" s="213"/>
      <c r="Z158" s="213"/>
      <c r="AA158" s="213"/>
      <c r="AB158" s="213"/>
      <c r="AC158" s="213"/>
      <c r="AD158" s="213"/>
      <c r="AE158" s="213"/>
      <c r="AF158" s="213"/>
      <c r="AG158" s="213"/>
      <c r="AH158" s="213"/>
      <c r="AI158" s="213"/>
      <c r="AJ158" s="213"/>
      <c r="AK158" s="213"/>
      <c r="AL158" s="213"/>
      <c r="AM158" s="213"/>
      <c r="AN158" s="213"/>
      <c r="AO158" s="213"/>
      <c r="AP158" s="213"/>
      <c r="AQ158" s="213"/>
      <c r="AR158" s="213"/>
      <c r="AS158" s="213"/>
      <c r="AT158" s="213"/>
      <c r="AU158" s="213"/>
      <c r="AV158" s="213"/>
      <c r="AW158" s="213"/>
      <c r="AX158" s="213"/>
      <c r="AY158" s="213"/>
      <c r="AZ158" s="213"/>
      <c r="BA158" s="213"/>
      <c r="BB158" s="213"/>
      <c r="BC158" s="213"/>
      <c r="BD158" s="213"/>
      <c r="BE158" s="213"/>
      <c r="BF158" s="213"/>
      <c r="BG158" s="213"/>
      <c r="BH158" s="213"/>
      <c r="BI158" s="213"/>
      <c r="BJ158" s="213"/>
      <c r="BK158" s="213"/>
      <c r="BL158" s="213"/>
      <c r="BM158" s="213"/>
      <c r="BN158" s="213"/>
    </row>
    <row r="159" spans="1:66" ht="20.100000000000001" customHeight="1" x14ac:dyDescent="0.15">
      <c r="A159" s="73"/>
      <c r="B159" s="101"/>
      <c r="C159" s="145" t="s">
        <v>113</v>
      </c>
      <c r="D159" s="118">
        <v>20000</v>
      </c>
      <c r="E159" s="118">
        <f>I160</f>
        <v>1420000</v>
      </c>
      <c r="F159" s="123">
        <f t="shared" si="0"/>
        <v>1400000</v>
      </c>
      <c r="G159" s="157">
        <f>F159/E159*100</f>
        <v>98.591549295774655</v>
      </c>
      <c r="H159" s="257" t="s">
        <v>113</v>
      </c>
      <c r="I159" s="240"/>
      <c r="J159" s="216"/>
    </row>
    <row r="160" spans="1:66" ht="20.100000000000001" customHeight="1" x14ac:dyDescent="0.15">
      <c r="A160" s="146"/>
      <c r="B160" s="109"/>
      <c r="C160" s="147"/>
      <c r="D160" s="121"/>
      <c r="E160" s="121"/>
      <c r="F160" s="127"/>
      <c r="G160" s="181"/>
      <c r="H160" s="248" t="s">
        <v>254</v>
      </c>
      <c r="I160" s="241">
        <f>1420000*1</f>
        <v>1420000</v>
      </c>
    </row>
    <row r="161" spans="1:7" x14ac:dyDescent="0.15">
      <c r="A161" s="95"/>
      <c r="B161" s="95"/>
      <c r="C161" s="95"/>
      <c r="D161" s="58"/>
      <c r="E161" s="112"/>
      <c r="F161" s="229"/>
      <c r="G161" s="230"/>
    </row>
    <row r="162" spans="1:7" x14ac:dyDescent="0.15">
      <c r="A162" s="95"/>
      <c r="B162" s="95"/>
      <c r="C162" s="95"/>
      <c r="D162" s="58"/>
      <c r="E162" s="112"/>
      <c r="F162" s="229"/>
      <c r="G162" s="230"/>
    </row>
    <row r="163" spans="1:7" x14ac:dyDescent="0.15">
      <c r="A163" s="95"/>
      <c r="B163" s="95"/>
      <c r="C163" s="95"/>
      <c r="D163" s="58"/>
      <c r="E163" s="112"/>
      <c r="F163" s="229"/>
      <c r="G163" s="230"/>
    </row>
    <row r="164" spans="1:7" x14ac:dyDescent="0.15">
      <c r="A164" s="95"/>
      <c r="B164" s="95"/>
      <c r="C164" s="95"/>
      <c r="D164" s="58"/>
      <c r="E164" s="112"/>
      <c r="F164" s="229"/>
      <c r="G164" s="230"/>
    </row>
    <row r="165" spans="1:7" x14ac:dyDescent="0.15">
      <c r="A165" s="95"/>
      <c r="B165" s="95"/>
      <c r="C165" s="95"/>
      <c r="D165" s="58"/>
      <c r="E165" s="112"/>
      <c r="F165" s="229"/>
      <c r="G165" s="230"/>
    </row>
    <row r="166" spans="1:7" x14ac:dyDescent="0.15">
      <c r="D166" s="58"/>
    </row>
    <row r="167" spans="1:7" x14ac:dyDescent="0.15">
      <c r="D167" s="58"/>
    </row>
  </sheetData>
  <customSheetViews>
    <customSheetView guid="{29BE6789-D580-482F-AE13-9E62D887C1AB}" showPageBreaks="1" printArea="1" view="pageBreakPreview" topLeftCell="A126">
      <selection activeCell="E140" sqref="E140"/>
      <rowBreaks count="5" manualBreakCount="5">
        <brk id="25" max="8" man="1"/>
        <brk id="49" max="8" man="1"/>
        <brk id="72" max="8" man="1"/>
        <brk id="95" max="8" man="1"/>
        <brk id="118" max="8" man="1"/>
      </rowBreaks>
      <pageMargins left="0.94488188976377963" right="0.74803149606299213" top="0.98425196850393704" bottom="0.98425196850393704" header="0.51181102362204722" footer="0.51181102362204722"/>
      <printOptions horizontalCentered="1"/>
      <pageSetup paperSize="9" scale="74" firstPageNumber="3" orientation="landscape" useFirstPageNumber="1" r:id="rId1"/>
      <headerFooter alignWithMargins="0">
        <oddFooter xml:space="preserve">&amp;R참좋은 기억학교(2022.02.14)
</oddFooter>
      </headerFooter>
    </customSheetView>
  </customSheetViews>
  <mergeCells count="15">
    <mergeCell ref="A1:H1"/>
    <mergeCell ref="C139:C140"/>
    <mergeCell ref="F4:G4"/>
    <mergeCell ref="H4:I5"/>
    <mergeCell ref="A6:C6"/>
    <mergeCell ref="H3:I3"/>
    <mergeCell ref="A90:A91"/>
    <mergeCell ref="A3:C3"/>
    <mergeCell ref="A4:C4"/>
    <mergeCell ref="D4:D5"/>
    <mergeCell ref="E4:E5"/>
    <mergeCell ref="C116:C117"/>
    <mergeCell ref="C122:C123"/>
    <mergeCell ref="C128:C129"/>
    <mergeCell ref="C124:C125"/>
  </mergeCells>
  <phoneticPr fontId="2" type="noConversion"/>
  <printOptions horizontalCentered="1"/>
  <pageMargins left="0.94488188976377963" right="0.74803149606299213" top="0.98425196850393704" bottom="0.98425196850393704" header="0.51181102362204722" footer="0.51181102362204722"/>
  <pageSetup paperSize="9" scale="82" firstPageNumber="3" fitToHeight="0" orientation="landscape" useFirstPageNumber="1" r:id="rId2"/>
  <headerFooter alignWithMargins="0">
    <oddFooter xml:space="preserve">&amp;R참좋은기억학교(2024. 12. 06.)
</oddFooter>
  </headerFooter>
  <rowBreaks count="6" manualBreakCount="6">
    <brk id="27" max="8" man="1"/>
    <brk id="49" max="8" man="1"/>
    <brk id="71" max="8" man="1"/>
    <brk id="95" max="8" man="1"/>
    <brk id="115" max="8" man="1"/>
    <brk id="138" max="8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56"/>
  <sheetViews>
    <sheetView view="pageBreakPreview" zoomScaleNormal="100" zoomScaleSheetLayoutView="100" workbookViewId="0">
      <selection activeCell="E1" sqref="E1"/>
    </sheetView>
  </sheetViews>
  <sheetFormatPr defaultRowHeight="13.5" x14ac:dyDescent="0.15"/>
  <cols>
    <col min="1" max="1" width="13.44140625" style="38" customWidth="1"/>
    <col min="2" max="2" width="15.6640625" style="39" customWidth="1"/>
    <col min="3" max="3" width="12.88671875" style="55" customWidth="1"/>
    <col min="4" max="4" width="12.77734375" style="51" customWidth="1"/>
    <col min="5" max="5" width="12.88671875" style="199" customWidth="1"/>
    <col min="6" max="6" width="10.44140625" style="38" bestFit="1" customWidth="1"/>
    <col min="7" max="7" width="12.44140625" style="38" bestFit="1" customWidth="1"/>
    <col min="8" max="8" width="9.44140625" style="38" customWidth="1"/>
    <col min="9" max="16384" width="8.88671875" style="38"/>
  </cols>
  <sheetData>
    <row r="1" spans="1:8" ht="46.5" customHeight="1" x14ac:dyDescent="0.15">
      <c r="A1" s="276" t="s">
        <v>284</v>
      </c>
      <c r="B1" s="266"/>
      <c r="C1" s="266"/>
      <c r="D1" s="266"/>
      <c r="E1" s="267"/>
    </row>
    <row r="2" spans="1:8" s="41" customFormat="1" ht="23.1" customHeight="1" x14ac:dyDescent="0.15">
      <c r="A2" s="264" t="s">
        <v>114</v>
      </c>
      <c r="B2" s="200"/>
      <c r="C2" s="201"/>
      <c r="D2" s="202"/>
      <c r="E2" s="192"/>
    </row>
    <row r="3" spans="1:8" s="41" customFormat="1" ht="23.1" customHeight="1" x14ac:dyDescent="0.15">
      <c r="A3" s="265" t="s">
        <v>115</v>
      </c>
      <c r="B3" s="49"/>
      <c r="C3" s="189"/>
      <c r="D3" s="50"/>
      <c r="E3" s="193" t="s">
        <v>116</v>
      </c>
    </row>
    <row r="4" spans="1:8" s="41" customFormat="1" ht="23.1" customHeight="1" thickBot="1" x14ac:dyDescent="0.2">
      <c r="A4" s="277" t="s">
        <v>3</v>
      </c>
      <c r="B4" s="53" t="s">
        <v>17</v>
      </c>
      <c r="C4" s="190" t="str">
        <f>예산총괄!C4</f>
        <v>2024년 2차 추경
(A)</v>
      </c>
      <c r="D4" s="54" t="str">
        <f>예산총괄!D4</f>
        <v>2024년 결산 추경
(B)</v>
      </c>
      <c r="E4" s="194" t="s">
        <v>88</v>
      </c>
    </row>
    <row r="5" spans="1:8" s="41" customFormat="1" ht="19.5" customHeight="1" thickTop="1" x14ac:dyDescent="0.15">
      <c r="A5" s="368"/>
      <c r="B5" s="369"/>
      <c r="C5" s="186">
        <f>'예산내역-세입'!D6</f>
        <v>501300000</v>
      </c>
      <c r="D5" s="186">
        <f>'예산내역-세입'!E6</f>
        <v>534000000</v>
      </c>
      <c r="E5" s="195">
        <f>D5-C5</f>
        <v>32700000</v>
      </c>
      <c r="F5" s="42"/>
      <c r="G5" s="148"/>
    </row>
    <row r="6" spans="1:8" s="41" customFormat="1" ht="20.100000000000001" customHeight="1" x14ac:dyDescent="0.15">
      <c r="A6" s="278" t="str">
        <f>'예산내역-세입'!B8</f>
        <v>입소비용수입</v>
      </c>
      <c r="B6" s="40" t="str">
        <f>'예산내역-세입'!C9</f>
        <v>입소비용수입</v>
      </c>
      <c r="C6" s="70">
        <f>'예산내역-세입'!D9</f>
        <v>69160000</v>
      </c>
      <c r="D6" s="70">
        <f>'예산내역-세입'!E9</f>
        <v>61000000</v>
      </c>
      <c r="E6" s="196">
        <f>D6-C6</f>
        <v>-8160000</v>
      </c>
      <c r="F6" s="42"/>
      <c r="G6" s="42"/>
    </row>
    <row r="7" spans="1:8" s="41" customFormat="1" ht="20.100000000000001" customHeight="1" x14ac:dyDescent="0.15">
      <c r="A7" s="279"/>
      <c r="B7" s="48"/>
      <c r="C7" s="362" t="s">
        <v>256</v>
      </c>
      <c r="D7" s="363"/>
      <c r="E7" s="364"/>
    </row>
    <row r="8" spans="1:8" s="41" customFormat="1" ht="20.100000000000001" customHeight="1" x14ac:dyDescent="0.15">
      <c r="A8" s="278" t="str">
        <f>'예산내역-세입'!B12</f>
        <v>보조금수입</v>
      </c>
      <c r="B8" s="312" t="str">
        <f>'예산내역-세입'!C15</f>
        <v>시군구보조금</v>
      </c>
      <c r="C8" s="70">
        <f>'예산내역-세입'!D15</f>
        <v>393186171</v>
      </c>
      <c r="D8" s="70">
        <f>'예산내역-세입'!E15</f>
        <v>390035000</v>
      </c>
      <c r="E8" s="196">
        <f>D8-C8</f>
        <v>-3151171</v>
      </c>
      <c r="F8" s="42"/>
      <c r="G8" s="42"/>
    </row>
    <row r="9" spans="1:8" s="41" customFormat="1" ht="20.100000000000001" customHeight="1" x14ac:dyDescent="0.15">
      <c r="A9" s="279"/>
      <c r="B9" s="48"/>
      <c r="C9" s="362" t="s">
        <v>265</v>
      </c>
      <c r="D9" s="363"/>
      <c r="E9" s="364"/>
    </row>
    <row r="10" spans="1:8" s="41" customFormat="1" ht="20.100000000000001" customHeight="1" x14ac:dyDescent="0.15">
      <c r="A10" s="278" t="str">
        <f>'예산내역-세입'!B12</f>
        <v>보조금수입</v>
      </c>
      <c r="B10" s="312" t="str">
        <f>'예산내역-세입'!C18</f>
        <v>기타보조금</v>
      </c>
      <c r="C10" s="70">
        <f>'예산내역-세입'!D18</f>
        <v>0</v>
      </c>
      <c r="D10" s="70">
        <f>'예산내역-세입'!E18</f>
        <v>44988500</v>
      </c>
      <c r="E10" s="196">
        <f>D10-C10</f>
        <v>44988500</v>
      </c>
      <c r="F10" s="42"/>
      <c r="G10" s="42"/>
    </row>
    <row r="11" spans="1:8" s="41" customFormat="1" ht="20.100000000000001" customHeight="1" x14ac:dyDescent="0.15">
      <c r="A11" s="279"/>
      <c r="B11" s="48"/>
      <c r="C11" s="362" t="s">
        <v>258</v>
      </c>
      <c r="D11" s="363"/>
      <c r="E11" s="364"/>
    </row>
    <row r="12" spans="1:8" s="41" customFormat="1" ht="20.100000000000001" customHeight="1" x14ac:dyDescent="0.15">
      <c r="A12" s="278" t="s">
        <v>21</v>
      </c>
      <c r="B12" s="40" t="str">
        <f>'예산내역-세입'!C34</f>
        <v>기타잡수입</v>
      </c>
      <c r="C12" s="70">
        <f>'예산내역-세입'!D34</f>
        <v>8119002</v>
      </c>
      <c r="D12" s="70">
        <f>'예산내역-세입'!E34</f>
        <v>7141673</v>
      </c>
      <c r="E12" s="196">
        <f>D12-C12</f>
        <v>-977329</v>
      </c>
    </row>
    <row r="13" spans="1:8" s="41" customFormat="1" ht="20.100000000000001" customHeight="1" x14ac:dyDescent="0.15">
      <c r="A13" s="280"/>
      <c r="B13" s="203"/>
      <c r="C13" s="204" t="s">
        <v>278</v>
      </c>
      <c r="D13" s="311"/>
      <c r="E13" s="205"/>
    </row>
    <row r="14" spans="1:8" s="41" customFormat="1" ht="23.1" customHeight="1" x14ac:dyDescent="0.15">
      <c r="A14" s="56"/>
      <c r="B14" s="281"/>
      <c r="C14" s="282"/>
      <c r="D14" s="283"/>
      <c r="E14" s="197"/>
    </row>
    <row r="15" spans="1:8" s="41" customFormat="1" ht="20.100000000000001" customHeight="1" x14ac:dyDescent="0.15">
      <c r="A15" s="265" t="s">
        <v>117</v>
      </c>
      <c r="B15" s="281"/>
      <c r="C15" s="282"/>
      <c r="D15" s="283"/>
      <c r="E15" s="197" t="s">
        <v>116</v>
      </c>
      <c r="F15" s="42"/>
      <c r="G15" s="42"/>
    </row>
    <row r="16" spans="1:8" s="41" customFormat="1" ht="23.1" customHeight="1" thickBot="1" x14ac:dyDescent="0.2">
      <c r="A16" s="277" t="s">
        <v>3</v>
      </c>
      <c r="B16" s="53" t="s">
        <v>17</v>
      </c>
      <c r="C16" s="190" t="str">
        <f>예산총괄!C4</f>
        <v>2024년 2차 추경
(A)</v>
      </c>
      <c r="D16" s="54" t="str">
        <f>예산총괄!D4</f>
        <v>2024년 결산 추경
(B)</v>
      </c>
      <c r="E16" s="194" t="s">
        <v>88</v>
      </c>
      <c r="H16" s="42"/>
    </row>
    <row r="17" spans="1:7" s="41" customFormat="1" ht="20.100000000000001" customHeight="1" thickTop="1" x14ac:dyDescent="0.15">
      <c r="A17" s="368"/>
      <c r="B17" s="369"/>
      <c r="C17" s="187">
        <f>'예산내역-세출'!D6</f>
        <v>501299999.85474932</v>
      </c>
      <c r="D17" s="187">
        <f>'예산내역-세출'!E6</f>
        <v>533999999.83099884</v>
      </c>
      <c r="E17" s="195">
        <f>D17-C17</f>
        <v>32699999.976249516</v>
      </c>
      <c r="G17" s="42"/>
    </row>
    <row r="18" spans="1:7" s="41" customFormat="1" ht="20.100000000000001" customHeight="1" x14ac:dyDescent="0.15">
      <c r="A18" s="278" t="str">
        <f>'예산내역-세출'!B8</f>
        <v>인건비</v>
      </c>
      <c r="B18" s="46" t="str">
        <f>'예산내역-세출'!C9</f>
        <v>급여</v>
      </c>
      <c r="C18" s="191">
        <f>'예산내역-세출'!D9</f>
        <v>275209100</v>
      </c>
      <c r="D18" s="315">
        <f>'예산내역-세출'!E9</f>
        <v>273523680</v>
      </c>
      <c r="E18" s="317">
        <f>D18-C18</f>
        <v>-1685420</v>
      </c>
      <c r="F18" s="235"/>
    </row>
    <row r="19" spans="1:7" s="41" customFormat="1" ht="20.100000000000001" customHeight="1" x14ac:dyDescent="0.15">
      <c r="A19" s="284"/>
      <c r="B19" s="47"/>
      <c r="C19" s="362" t="s">
        <v>266</v>
      </c>
      <c r="D19" s="363"/>
      <c r="E19" s="364"/>
      <c r="G19" s="235"/>
    </row>
    <row r="20" spans="1:7" s="41" customFormat="1" ht="20.100000000000001" customHeight="1" x14ac:dyDescent="0.15">
      <c r="A20" s="285" t="str">
        <f>'예산내역-세출'!B8</f>
        <v>인건비</v>
      </c>
      <c r="B20" s="310" t="str">
        <f>'예산내역-세출'!C28</f>
        <v>제수당</v>
      </c>
      <c r="C20" s="63">
        <f>'예산내역-세출'!D28</f>
        <v>39100340</v>
      </c>
      <c r="D20" s="63">
        <f>'예산내역-세출'!E28</f>
        <v>38250340</v>
      </c>
      <c r="E20" s="196">
        <f>D20-C20</f>
        <v>-850000</v>
      </c>
      <c r="F20" s="42"/>
      <c r="G20" s="42"/>
    </row>
    <row r="21" spans="1:7" s="41" customFormat="1" ht="20.100000000000001" customHeight="1" x14ac:dyDescent="0.15">
      <c r="A21" s="56"/>
      <c r="B21" s="65"/>
      <c r="C21" s="362" t="s">
        <v>266</v>
      </c>
      <c r="D21" s="363"/>
      <c r="E21" s="364"/>
      <c r="F21" s="42"/>
      <c r="G21" s="42"/>
    </row>
    <row r="22" spans="1:7" s="41" customFormat="1" ht="20.100000000000001" customHeight="1" x14ac:dyDescent="0.15">
      <c r="A22" s="285" t="str">
        <f>'예산내역-세출'!B8</f>
        <v>인건비</v>
      </c>
      <c r="B22" s="46" t="str">
        <f>'예산내역-세출'!C39</f>
        <v>사회보험부담금</v>
      </c>
      <c r="C22" s="63">
        <f>'예산내역-세출'!D39</f>
        <v>32348110.021415997</v>
      </c>
      <c r="D22" s="63">
        <f>'예산내역-세출'!E39</f>
        <v>32081533.997665502</v>
      </c>
      <c r="E22" s="196">
        <f>D22-C22</f>
        <v>-266576.02375049517</v>
      </c>
    </row>
    <row r="23" spans="1:7" s="41" customFormat="1" ht="20.100000000000001" customHeight="1" x14ac:dyDescent="0.15">
      <c r="A23" s="56"/>
      <c r="B23" s="65"/>
      <c r="C23" s="362" t="s">
        <v>266</v>
      </c>
      <c r="D23" s="363"/>
      <c r="E23" s="364"/>
    </row>
    <row r="24" spans="1:7" s="41" customFormat="1" ht="20.100000000000001" customHeight="1" x14ac:dyDescent="0.15">
      <c r="A24" s="285" t="str">
        <f>'예산내역-세출'!B8</f>
        <v>인건비</v>
      </c>
      <c r="B24" s="188" t="str">
        <f>'예산내역-세출'!C45</f>
        <v>기타후생경비</v>
      </c>
      <c r="C24" s="63">
        <f>'예산내역-세출'!D45</f>
        <v>2710000</v>
      </c>
      <c r="D24" s="63">
        <f>'예산내역-세출'!E45</f>
        <v>2320000</v>
      </c>
      <c r="E24" s="196">
        <f>D24-C24</f>
        <v>-390000</v>
      </c>
    </row>
    <row r="25" spans="1:7" s="41" customFormat="1" ht="20.100000000000001" customHeight="1" x14ac:dyDescent="0.15">
      <c r="A25" s="286"/>
      <c r="B25" s="65"/>
      <c r="C25" s="362" t="s">
        <v>274</v>
      </c>
      <c r="D25" s="363"/>
      <c r="E25" s="364"/>
    </row>
    <row r="26" spans="1:7" s="41" customFormat="1" ht="20.100000000000001" customHeight="1" x14ac:dyDescent="0.15">
      <c r="A26" s="285" t="str">
        <f>'예산내역-세출'!B50</f>
        <v>업무추진비</v>
      </c>
      <c r="B26" s="188" t="str">
        <f>'예산내역-세출'!C51</f>
        <v>기관운영비</v>
      </c>
      <c r="C26" s="63">
        <f>'예산내역-세출'!D51</f>
        <v>1780000</v>
      </c>
      <c r="D26" s="63">
        <f>'예산내역-세출'!E51</f>
        <v>1200000</v>
      </c>
      <c r="E26" s="196">
        <f>D26-C26</f>
        <v>-580000</v>
      </c>
    </row>
    <row r="27" spans="1:7" s="41" customFormat="1" ht="20.100000000000001" customHeight="1" x14ac:dyDescent="0.15">
      <c r="A27" s="286"/>
      <c r="B27" s="65"/>
      <c r="C27" s="362" t="s">
        <v>275</v>
      </c>
      <c r="D27" s="363"/>
      <c r="E27" s="364"/>
    </row>
    <row r="28" spans="1:7" s="41" customFormat="1" ht="20.100000000000001" customHeight="1" x14ac:dyDescent="0.15">
      <c r="A28" s="285" t="str">
        <f>'예산내역-세출'!B50</f>
        <v>업무추진비</v>
      </c>
      <c r="B28" s="313" t="str">
        <f>'예산내역-세출'!C57</f>
        <v>회의비</v>
      </c>
      <c r="C28" s="63">
        <f>'예산내역-세출'!D57</f>
        <v>1200000</v>
      </c>
      <c r="D28" s="63">
        <f>'예산내역-세출'!E57</f>
        <v>600000</v>
      </c>
      <c r="E28" s="196">
        <f>D28-C28</f>
        <v>-600000</v>
      </c>
    </row>
    <row r="29" spans="1:7" s="41" customFormat="1" ht="20.100000000000001" customHeight="1" x14ac:dyDescent="0.15">
      <c r="A29" s="314"/>
      <c r="B29" s="66"/>
      <c r="C29" s="370" t="s">
        <v>276</v>
      </c>
      <c r="D29" s="371"/>
      <c r="E29" s="372"/>
    </row>
    <row r="30" spans="1:7" s="41" customFormat="1" ht="20.100000000000001" customHeight="1" x14ac:dyDescent="0.15">
      <c r="A30" s="265" t="s">
        <v>117</v>
      </c>
      <c r="B30" s="281"/>
      <c r="C30" s="282"/>
      <c r="D30" s="283"/>
      <c r="E30" s="197" t="s">
        <v>116</v>
      </c>
    </row>
    <row r="31" spans="1:7" s="41" customFormat="1" ht="23.1" customHeight="1" thickBot="1" x14ac:dyDescent="0.2">
      <c r="A31" s="277" t="s">
        <v>3</v>
      </c>
      <c r="B31" s="53" t="s">
        <v>17</v>
      </c>
      <c r="C31" s="190" t="str">
        <f>예산총괄!C15</f>
        <v>2024년 2차 추경
(A)</v>
      </c>
      <c r="D31" s="54" t="str">
        <f>예산총괄!D15</f>
        <v>2024년 3차 추경
(B)</v>
      </c>
      <c r="E31" s="194" t="s">
        <v>88</v>
      </c>
    </row>
    <row r="32" spans="1:7" s="41" customFormat="1" ht="20.100000000000001" customHeight="1" thickTop="1" x14ac:dyDescent="0.15">
      <c r="A32" s="285" t="str">
        <f>'예산내역-세출'!B59</f>
        <v>운영비</v>
      </c>
      <c r="B32" s="188" t="str">
        <f>'예산내역-세출'!C62</f>
        <v>수용비 및 수수료</v>
      </c>
      <c r="C32" s="63">
        <f>'예산내역-세출'!D62</f>
        <v>14559200</v>
      </c>
      <c r="D32" s="63">
        <f>'예산내역-세출'!E62</f>
        <v>19293700</v>
      </c>
      <c r="E32" s="316">
        <f>'예산내역-세출'!F62</f>
        <v>4734500</v>
      </c>
    </row>
    <row r="33" spans="1:5" s="41" customFormat="1" ht="20.100000000000001" customHeight="1" x14ac:dyDescent="0.15">
      <c r="A33" s="286"/>
      <c r="B33" s="65"/>
      <c r="C33" s="362" t="s">
        <v>258</v>
      </c>
      <c r="D33" s="363"/>
      <c r="E33" s="364"/>
    </row>
    <row r="34" spans="1:5" s="41" customFormat="1" ht="20.100000000000001" customHeight="1" x14ac:dyDescent="0.15">
      <c r="A34" s="285" t="str">
        <f>'예산내역-세출'!B59</f>
        <v>운영비</v>
      </c>
      <c r="B34" s="313" t="str">
        <f>'예산내역-세출'!C75</f>
        <v>제세공과금</v>
      </c>
      <c r="C34" s="63">
        <f>'예산내역-세출'!D75</f>
        <v>5775500</v>
      </c>
      <c r="D34" s="63">
        <f>'예산내역-세출'!E75</f>
        <v>8191680</v>
      </c>
      <c r="E34" s="316">
        <f>'예산내역-세출'!F75</f>
        <v>2416180</v>
      </c>
    </row>
    <row r="35" spans="1:5" s="41" customFormat="1" ht="20.100000000000001" customHeight="1" x14ac:dyDescent="0.15">
      <c r="A35" s="286"/>
      <c r="B35" s="65"/>
      <c r="C35" s="362" t="s">
        <v>258</v>
      </c>
      <c r="D35" s="363"/>
      <c r="E35" s="364"/>
    </row>
    <row r="36" spans="1:5" s="41" customFormat="1" ht="20.100000000000001" customHeight="1" x14ac:dyDescent="0.15">
      <c r="A36" s="285" t="str">
        <f>'예산내역-세출'!B59</f>
        <v>운영비</v>
      </c>
      <c r="B36" s="188" t="str">
        <f>'예산내역-세출'!C82</f>
        <v>차량비</v>
      </c>
      <c r="C36" s="63">
        <f>'예산내역-세출'!D82</f>
        <v>10800000</v>
      </c>
      <c r="D36" s="63">
        <f>'예산내역-세출'!E82</f>
        <v>9600000</v>
      </c>
      <c r="E36" s="196">
        <f>D36-C36</f>
        <v>-1200000</v>
      </c>
    </row>
    <row r="37" spans="1:5" s="41" customFormat="1" ht="20.100000000000001" customHeight="1" x14ac:dyDescent="0.15">
      <c r="A37" s="286"/>
      <c r="B37" s="65"/>
      <c r="C37" s="362" t="s">
        <v>267</v>
      </c>
      <c r="D37" s="363"/>
      <c r="E37" s="364"/>
    </row>
    <row r="38" spans="1:5" s="41" customFormat="1" ht="20.100000000000001" customHeight="1" x14ac:dyDescent="0.15">
      <c r="A38" s="285" t="str">
        <f>'예산내역-세출'!B90</f>
        <v>시설비</v>
      </c>
      <c r="B38" s="188" t="str">
        <f>'예산내역-세출'!C91</f>
        <v>자산취득비</v>
      </c>
      <c r="C38" s="63">
        <f>'예산내역-세출'!D91</f>
        <v>19229996</v>
      </c>
      <c r="D38" s="63">
        <f>'예산내역-세출'!E91</f>
        <v>56672986</v>
      </c>
      <c r="E38" s="316">
        <f>'예산내역-세출'!F91</f>
        <v>37442990</v>
      </c>
    </row>
    <row r="39" spans="1:5" s="41" customFormat="1" ht="20.100000000000001" customHeight="1" x14ac:dyDescent="0.15">
      <c r="A39" s="286"/>
      <c r="B39" s="65"/>
      <c r="C39" s="362" t="s">
        <v>258</v>
      </c>
      <c r="D39" s="363"/>
      <c r="E39" s="364"/>
    </row>
    <row r="40" spans="1:5" s="41" customFormat="1" ht="20.100000000000001" customHeight="1" x14ac:dyDescent="0.15">
      <c r="A40" s="285" t="str">
        <f>'예산내역-세출'!B105</f>
        <v>운영비</v>
      </c>
      <c r="B40" s="313" t="str">
        <f>'예산내역-세출'!C106</f>
        <v>생계비</v>
      </c>
      <c r="C40" s="63">
        <f>'예산내역-세출'!D106</f>
        <v>27200000</v>
      </c>
      <c r="D40" s="63">
        <f>'예산내역-세출'!E106</f>
        <v>25200000</v>
      </c>
      <c r="E40" s="196">
        <f>D40-C40</f>
        <v>-2000000</v>
      </c>
    </row>
    <row r="41" spans="1:5" s="41" customFormat="1" ht="20.100000000000001" customHeight="1" x14ac:dyDescent="0.15">
      <c r="A41" s="286"/>
      <c r="B41" s="65"/>
      <c r="C41" s="362" t="s">
        <v>277</v>
      </c>
      <c r="D41" s="363"/>
      <c r="E41" s="364"/>
    </row>
    <row r="42" spans="1:5" s="41" customFormat="1" ht="20.100000000000001" customHeight="1" x14ac:dyDescent="0.15">
      <c r="A42" s="285" t="str">
        <f>'예산내역-세출'!B113</f>
        <v>사업비</v>
      </c>
      <c r="B42" s="188" t="s">
        <v>262</v>
      </c>
      <c r="C42" s="63">
        <f>'예산내역-세출'!D116</f>
        <v>3840000</v>
      </c>
      <c r="D42" s="63">
        <f>'예산내역-세출'!E116</f>
        <v>2540000</v>
      </c>
      <c r="E42" s="196">
        <f>D42-C42</f>
        <v>-1300000</v>
      </c>
    </row>
    <row r="43" spans="1:5" s="41" customFormat="1" ht="20.100000000000001" customHeight="1" x14ac:dyDescent="0.15">
      <c r="A43" s="286"/>
      <c r="B43" s="65"/>
      <c r="C43" s="362" t="s">
        <v>269</v>
      </c>
      <c r="D43" s="363"/>
      <c r="E43" s="364"/>
    </row>
    <row r="44" spans="1:5" s="41" customFormat="1" ht="20.100000000000001" customHeight="1" x14ac:dyDescent="0.15">
      <c r="A44" s="285" t="str">
        <f>'예산내역-세출'!B113</f>
        <v>사업비</v>
      </c>
      <c r="B44" s="188" t="s">
        <v>261</v>
      </c>
      <c r="C44" s="63">
        <f>'예산내역-세출'!D124</f>
        <v>1104000</v>
      </c>
      <c r="D44" s="63">
        <f>'예산내역-세출'!E124</f>
        <v>754000</v>
      </c>
      <c r="E44" s="196">
        <f>D44-C44</f>
        <v>-350000</v>
      </c>
    </row>
    <row r="45" spans="1:5" s="41" customFormat="1" ht="20.100000000000001" customHeight="1" x14ac:dyDescent="0.15">
      <c r="A45" s="286"/>
      <c r="B45" s="65"/>
      <c r="C45" s="362" t="s">
        <v>268</v>
      </c>
      <c r="D45" s="363"/>
      <c r="E45" s="364"/>
    </row>
    <row r="46" spans="1:5" s="41" customFormat="1" ht="20.100000000000001" customHeight="1" x14ac:dyDescent="0.15">
      <c r="A46" s="285" t="str">
        <f>'예산내역-세출'!B113</f>
        <v>사업비</v>
      </c>
      <c r="B46" s="313" t="s">
        <v>263</v>
      </c>
      <c r="C46" s="63">
        <f>'예산내역-세출'!D128</f>
        <v>8005930</v>
      </c>
      <c r="D46" s="63">
        <f>'예산내역-세출'!E128</f>
        <v>5797380</v>
      </c>
      <c r="E46" s="196">
        <f>D46-C46</f>
        <v>-2208550</v>
      </c>
    </row>
    <row r="47" spans="1:5" s="41" customFormat="1" ht="20.100000000000001" customHeight="1" x14ac:dyDescent="0.15">
      <c r="A47" s="286"/>
      <c r="B47" s="65"/>
      <c r="C47" s="362" t="s">
        <v>269</v>
      </c>
      <c r="D47" s="363"/>
      <c r="E47" s="364"/>
    </row>
    <row r="48" spans="1:5" s="41" customFormat="1" ht="20.100000000000001" customHeight="1" x14ac:dyDescent="0.15">
      <c r="A48" s="285" t="str">
        <f>'예산내역-세출'!B113</f>
        <v>사업비</v>
      </c>
      <c r="B48" s="188" t="s">
        <v>264</v>
      </c>
      <c r="C48" s="63">
        <f>'예산내역-세출'!D139</f>
        <v>800000</v>
      </c>
      <c r="D48" s="63">
        <f>'예산내역-세출'!E139</f>
        <v>1800000</v>
      </c>
      <c r="E48" s="316">
        <f>'예산내역-세출'!F139</f>
        <v>1000000</v>
      </c>
    </row>
    <row r="49" spans="1:5" s="41" customFormat="1" ht="20.100000000000001" customHeight="1" x14ac:dyDescent="0.15">
      <c r="A49" s="286"/>
      <c r="B49" s="65"/>
      <c r="C49" s="362" t="s">
        <v>273</v>
      </c>
      <c r="D49" s="363"/>
      <c r="E49" s="364"/>
    </row>
    <row r="50" spans="1:5" s="41" customFormat="1" ht="20.100000000000001" customHeight="1" x14ac:dyDescent="0.15">
      <c r="A50" s="285" t="str">
        <f>'예산내역-세출'!B141</f>
        <v>일반사업비</v>
      </c>
      <c r="B50" s="188" t="str">
        <f>'예산내역-세출'!C142</f>
        <v>홍보출판사업비</v>
      </c>
      <c r="C50" s="63">
        <f>'예산내역-세출'!D142</f>
        <v>4000000</v>
      </c>
      <c r="D50" s="63">
        <f>'예산내역-세출'!E142</f>
        <v>1000000</v>
      </c>
      <c r="E50" s="196">
        <f>D50-C50</f>
        <v>-3000000</v>
      </c>
    </row>
    <row r="51" spans="1:5" s="41" customFormat="1" ht="20.100000000000001" customHeight="1" x14ac:dyDescent="0.15">
      <c r="A51" s="286"/>
      <c r="B51" s="65"/>
      <c r="C51" s="362" t="s">
        <v>270</v>
      </c>
      <c r="D51" s="363"/>
      <c r="E51" s="364"/>
    </row>
    <row r="52" spans="1:5" s="41" customFormat="1" ht="20.100000000000001" customHeight="1" x14ac:dyDescent="0.15">
      <c r="A52" s="285" t="str">
        <f>'예산내역-세출'!B156</f>
        <v>예비비 및 기타</v>
      </c>
      <c r="B52" s="313" t="str">
        <f>'예산내역-세출'!C157</f>
        <v>예비비</v>
      </c>
      <c r="C52" s="63">
        <f>'예산내역-세출'!D157</f>
        <v>60417</v>
      </c>
      <c r="D52" s="63">
        <f>'예산내역-세출'!E157</f>
        <v>197293</v>
      </c>
      <c r="E52" s="316">
        <f>'예산내역-세출'!F157</f>
        <v>136876</v>
      </c>
    </row>
    <row r="53" spans="1:5" s="41" customFormat="1" ht="20.100000000000001" customHeight="1" x14ac:dyDescent="0.15">
      <c r="A53" s="286"/>
      <c r="B53" s="65"/>
      <c r="C53" s="362" t="s">
        <v>272</v>
      </c>
      <c r="D53" s="363"/>
      <c r="E53" s="364"/>
    </row>
    <row r="54" spans="1:5" ht="20.100000000000001" customHeight="1" x14ac:dyDescent="0.15">
      <c r="A54" s="285" t="str">
        <f>'예산내역-세출'!B156</f>
        <v>예비비 및 기타</v>
      </c>
      <c r="B54" s="188" t="str">
        <f>'예산내역-세출'!C159</f>
        <v>반환금</v>
      </c>
      <c r="C54" s="63">
        <f>'예산내역-세출'!D159</f>
        <v>20000</v>
      </c>
      <c r="D54" s="63">
        <f>'예산내역-세출'!E159</f>
        <v>1420000</v>
      </c>
      <c r="E54" s="316">
        <f>'예산내역-세출'!F159</f>
        <v>1400000</v>
      </c>
    </row>
    <row r="55" spans="1:5" ht="20.100000000000001" customHeight="1" x14ac:dyDescent="0.15">
      <c r="A55" s="314"/>
      <c r="B55" s="66"/>
      <c r="C55" s="365" t="s">
        <v>271</v>
      </c>
      <c r="D55" s="366"/>
      <c r="E55" s="367"/>
    </row>
    <row r="56" spans="1:5" x14ac:dyDescent="0.15">
      <c r="A56" s="39"/>
      <c r="C56" s="52"/>
      <c r="D56" s="42"/>
      <c r="E56" s="198"/>
    </row>
  </sheetData>
  <customSheetViews>
    <customSheetView guid="{29BE6789-D580-482F-AE13-9E62D887C1AB}" showPageBreaks="1" printArea="1" view="pageBreakPreview" topLeftCell="A16">
      <selection activeCell="D13" sqref="D13:F13"/>
      <pageMargins left="0.94488188976377963" right="0.74803149606299213" top="0.98425196850393704" bottom="0.98425196850393704" header="0.51181102362204722" footer="0.51181102362204722"/>
      <printOptions horizontalCentered="1"/>
      <pageSetup paperSize="9" scale="80" firstPageNumber="10" orientation="portrait" useFirstPageNumber="1" r:id="rId1"/>
      <headerFooter alignWithMargins="0">
        <oddFooter xml:space="preserve">&amp;R참좋은 기억학교(2022.02.14)
</oddFooter>
      </headerFooter>
    </customSheetView>
  </customSheetViews>
  <mergeCells count="23">
    <mergeCell ref="C29:E29"/>
    <mergeCell ref="C33:E33"/>
    <mergeCell ref="C35:E35"/>
    <mergeCell ref="C23:E23"/>
    <mergeCell ref="C27:E27"/>
    <mergeCell ref="C7:E7"/>
    <mergeCell ref="C25:E25"/>
    <mergeCell ref="C11:E11"/>
    <mergeCell ref="A5:B5"/>
    <mergeCell ref="A17:B17"/>
    <mergeCell ref="C9:E9"/>
    <mergeCell ref="C19:E19"/>
    <mergeCell ref="C21:E21"/>
    <mergeCell ref="C37:E37"/>
    <mergeCell ref="C39:E39"/>
    <mergeCell ref="C41:E41"/>
    <mergeCell ref="C43:E43"/>
    <mergeCell ref="C45:E45"/>
    <mergeCell ref="C47:E47"/>
    <mergeCell ref="C49:E49"/>
    <mergeCell ref="C51:E51"/>
    <mergeCell ref="C53:E53"/>
    <mergeCell ref="C55:E55"/>
  </mergeCells>
  <phoneticPr fontId="2" type="noConversion"/>
  <printOptions horizontalCentered="1"/>
  <pageMargins left="0.94488188976377963" right="0.74803149606299213" top="0.98425196850393704" bottom="0.98425196850393704" header="0.51181102362204722" footer="0.51181102362204722"/>
  <pageSetup paperSize="9" scale="98" firstPageNumber="10" fitToHeight="2" orientation="portrait" useFirstPageNumber="1" horizontalDpi="4294967294" r:id="rId2"/>
  <headerFooter alignWithMargins="0">
    <oddFooter xml:space="preserve">&amp;R참좋은기억학교(2024. 12. 06.)
</oddFooter>
  </headerFooter>
  <rowBreaks count="1" manualBreakCount="1">
    <brk id="29" max="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6</vt:i4>
      </vt:variant>
      <vt:variant>
        <vt:lpstr>이름 지정된 범위</vt:lpstr>
      </vt:variant>
      <vt:variant>
        <vt:i4>9</vt:i4>
      </vt:variant>
    </vt:vector>
  </HeadingPairs>
  <TitlesOfParts>
    <vt:vector size="15" baseType="lpstr">
      <vt:lpstr>표지</vt:lpstr>
      <vt:lpstr>예산총칙</vt:lpstr>
      <vt:lpstr>예산총괄</vt:lpstr>
      <vt:lpstr>예산내역-세입</vt:lpstr>
      <vt:lpstr>예산내역-세출</vt:lpstr>
      <vt:lpstr>예산 변경사유서</vt:lpstr>
      <vt:lpstr>'예산 변경사유서'!Print_Area</vt:lpstr>
      <vt:lpstr>'예산내역-세입'!Print_Area</vt:lpstr>
      <vt:lpstr>'예산내역-세출'!Print_Area</vt:lpstr>
      <vt:lpstr>예산총괄!Print_Area</vt:lpstr>
      <vt:lpstr>예산총칙!Print_Area</vt:lpstr>
      <vt:lpstr>표지!Print_Area</vt:lpstr>
      <vt:lpstr>'예산 변경사유서'!Print_Titles</vt:lpstr>
      <vt:lpstr>'예산내역-세입'!Print_Titles</vt:lpstr>
      <vt:lpstr>'예산내역-세출'!Print_Titles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 PC</dc:creator>
  <cp:lastModifiedBy>Administrator</cp:lastModifiedBy>
  <cp:lastPrinted>2024-12-05T05:34:21Z</cp:lastPrinted>
  <dcterms:created xsi:type="dcterms:W3CDTF">2016-12-07T07:13:09Z</dcterms:created>
  <dcterms:modified xsi:type="dcterms:W3CDTF">2024-12-09T08:58:51Z</dcterms:modified>
</cp:coreProperties>
</file>